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60" windowWidth="9420" windowHeight="4245" tabRatio="749" activeTab="1"/>
  </bookViews>
  <sheets>
    <sheet name="Posto Fixo" sheetId="1" r:id="rId1"/>
    <sheet name="Posto Variado" sheetId="4" r:id="rId2"/>
    <sheet name="Ruído de Impacto " sheetId="5" r:id="rId3"/>
    <sheet name="L.T. NR15 (NHT)" sheetId="2" state="hidden" r:id="rId4"/>
  </sheets>
  <calcPr calcId="125725"/>
</workbook>
</file>

<file path=xl/calcChain.xml><?xml version="1.0" encoding="utf-8"?>
<calcChain xmlns="http://schemas.openxmlformats.org/spreadsheetml/2006/main">
  <c r="D3" i="2"/>
  <c r="D4"/>
  <c r="D5"/>
  <c r="D6"/>
  <c r="D7"/>
  <c r="D8"/>
  <c r="D9"/>
  <c r="D10"/>
  <c r="H10"/>
  <c r="D11"/>
  <c r="D12"/>
  <c r="D13"/>
  <c r="D14"/>
  <c r="D15"/>
  <c r="D16"/>
  <c r="D17"/>
  <c r="C12" i="1"/>
  <c r="D12"/>
  <c r="E12"/>
  <c r="F12"/>
  <c r="G12"/>
  <c r="H12"/>
  <c r="I12"/>
  <c r="J12"/>
  <c r="C13"/>
  <c r="D13"/>
  <c r="E13"/>
  <c r="F13"/>
  <c r="G13"/>
  <c r="H13"/>
  <c r="I13"/>
  <c r="J13"/>
  <c r="C15"/>
  <c r="C14" s="1"/>
  <c r="D15"/>
  <c r="D14" s="1"/>
  <c r="E15"/>
  <c r="E14" s="1"/>
  <c r="F15"/>
  <c r="F14" s="1"/>
  <c r="G15"/>
  <c r="G14" s="1"/>
  <c r="H15"/>
  <c r="H14" s="1"/>
  <c r="I15"/>
  <c r="I14" s="1"/>
  <c r="J15"/>
  <c r="J14" s="1"/>
  <c r="K15"/>
  <c r="K11" s="1"/>
  <c r="C9" i="4"/>
  <c r="D9"/>
  <c r="D10" s="1"/>
  <c r="E9"/>
  <c r="E10" s="1"/>
  <c r="F9"/>
  <c r="F10" s="1"/>
  <c r="G9"/>
  <c r="G10" s="1"/>
  <c r="H9"/>
  <c r="H10" s="1"/>
  <c r="I9"/>
  <c r="I10" s="1"/>
  <c r="J9"/>
  <c r="J10" s="1"/>
  <c r="C10"/>
  <c r="C12"/>
  <c r="C11" s="1"/>
  <c r="D12"/>
  <c r="D11" s="1"/>
  <c r="E12"/>
  <c r="E11" s="1"/>
  <c r="F12"/>
  <c r="F11" s="1"/>
  <c r="G12"/>
  <c r="G11" s="1"/>
  <c r="H12"/>
  <c r="H11" s="1"/>
  <c r="I12"/>
  <c r="I11" s="1"/>
  <c r="J12"/>
  <c r="J11" s="1"/>
  <c r="C16"/>
  <c r="C17" s="1"/>
  <c r="D16"/>
  <c r="D17" s="1"/>
  <c r="E16"/>
  <c r="E17" s="1"/>
  <c r="F16"/>
  <c r="F17" s="1"/>
  <c r="G16"/>
  <c r="G17" s="1"/>
  <c r="H16"/>
  <c r="H17" s="1"/>
  <c r="I16"/>
  <c r="I17" s="1"/>
  <c r="J16"/>
  <c r="J17" s="1"/>
  <c r="C19"/>
  <c r="C18" s="1"/>
  <c r="D19"/>
  <c r="D18" s="1"/>
  <c r="E19"/>
  <c r="E18" s="1"/>
  <c r="F19"/>
  <c r="F18" s="1"/>
  <c r="G19"/>
  <c r="G18" s="1"/>
  <c r="H19"/>
  <c r="H18" s="1"/>
  <c r="I19"/>
  <c r="I18" s="1"/>
  <c r="J19"/>
  <c r="J18" s="1"/>
  <c r="C23"/>
  <c r="D23"/>
  <c r="E23"/>
  <c r="E24" s="1"/>
  <c r="F23"/>
  <c r="F24" s="1"/>
  <c r="G23"/>
  <c r="G24" s="1"/>
  <c r="H23"/>
  <c r="H24" s="1"/>
  <c r="I23"/>
  <c r="I24" s="1"/>
  <c r="J23"/>
  <c r="J24" s="1"/>
  <c r="C24"/>
  <c r="C26"/>
  <c r="C25" s="1"/>
  <c r="D26"/>
  <c r="D25" s="1"/>
  <c r="E26"/>
  <c r="E25" s="1"/>
  <c r="F26"/>
  <c r="F25" s="1"/>
  <c r="G26"/>
  <c r="G25" s="1"/>
  <c r="H26"/>
  <c r="H25" s="1"/>
  <c r="I26"/>
  <c r="I25" s="1"/>
  <c r="J26"/>
  <c r="J25" s="1"/>
  <c r="C30"/>
  <c r="C31" s="1"/>
  <c r="D30"/>
  <c r="D31" s="1"/>
  <c r="E30"/>
  <c r="E31" s="1"/>
  <c r="F30"/>
  <c r="F31" s="1"/>
  <c r="G30"/>
  <c r="G31" s="1"/>
  <c r="H30"/>
  <c r="H31" s="1"/>
  <c r="I30"/>
  <c r="I31" s="1"/>
  <c r="J30"/>
  <c r="J31" s="1"/>
  <c r="C33"/>
  <c r="D33"/>
  <c r="D32" s="1"/>
  <c r="E33"/>
  <c r="E32" s="1"/>
  <c r="F33"/>
  <c r="F32" s="1"/>
  <c r="G33"/>
  <c r="G32" s="1"/>
  <c r="H33"/>
  <c r="H32" s="1"/>
  <c r="I33"/>
  <c r="I32" s="1"/>
  <c r="J33"/>
  <c r="J32" s="1"/>
  <c r="C37"/>
  <c r="C38" s="1"/>
  <c r="D37"/>
  <c r="D38" s="1"/>
  <c r="E37"/>
  <c r="E38" s="1"/>
  <c r="F37"/>
  <c r="F38" s="1"/>
  <c r="G37"/>
  <c r="G38" s="1"/>
  <c r="H37"/>
  <c r="H38" s="1"/>
  <c r="I37"/>
  <c r="I38" s="1"/>
  <c r="J37"/>
  <c r="J38" s="1"/>
  <c r="C40"/>
  <c r="C39" s="1"/>
  <c r="D40"/>
  <c r="D39" s="1"/>
  <c r="E40"/>
  <c r="E39" s="1"/>
  <c r="F40"/>
  <c r="F39" s="1"/>
  <c r="G40"/>
  <c r="G39" s="1"/>
  <c r="H40"/>
  <c r="H39" s="1"/>
  <c r="I40"/>
  <c r="I39" s="1"/>
  <c r="J40"/>
  <c r="J39" s="1"/>
  <c r="B41"/>
  <c r="C46"/>
  <c r="D46"/>
  <c r="E46"/>
  <c r="F46"/>
  <c r="G46"/>
  <c r="H46"/>
  <c r="I46"/>
  <c r="J46"/>
  <c r="C47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E10" i="5"/>
  <c r="D10" s="1"/>
  <c r="G10"/>
  <c r="E11"/>
  <c r="D11" s="1"/>
  <c r="G11"/>
  <c r="E12"/>
  <c r="D12" s="1"/>
  <c r="G12"/>
  <c r="E13"/>
  <c r="D13" s="1"/>
  <c r="G13"/>
  <c r="E14"/>
  <c r="D14" s="1"/>
  <c r="G14"/>
  <c r="E15"/>
  <c r="D15" s="1"/>
  <c r="G15"/>
  <c r="E16"/>
  <c r="D16" s="1"/>
  <c r="G16"/>
  <c r="E17"/>
  <c r="D17" s="1"/>
  <c r="G17"/>
  <c r="E18"/>
  <c r="D18" s="1"/>
  <c r="G18"/>
  <c r="A27"/>
  <c r="L15" i="1"/>
  <c r="L11"/>
  <c r="N15" s="1"/>
  <c r="N11" s="1"/>
  <c r="O15" s="1"/>
  <c r="O11" s="1"/>
  <c r="M15" l="1"/>
  <c r="M11" s="1"/>
  <c r="B18"/>
  <c r="B16" s="1"/>
  <c r="B19"/>
  <c r="B17" s="1"/>
  <c r="K19" i="4"/>
  <c r="K15" s="1"/>
  <c r="F10" i="5"/>
  <c r="C26" s="1"/>
  <c r="K12" i="4"/>
  <c r="K8" s="1"/>
  <c r="K40"/>
  <c r="K36" s="1"/>
  <c r="L33"/>
  <c r="L29" s="1"/>
  <c r="K33"/>
  <c r="K29" s="1"/>
  <c r="C32"/>
  <c r="L40"/>
  <c r="L36" s="1"/>
  <c r="K26"/>
  <c r="K22" s="1"/>
  <c r="D24"/>
  <c r="L26"/>
  <c r="L22" s="1"/>
  <c r="L19"/>
  <c r="L15" s="1"/>
  <c r="L12"/>
  <c r="L8" s="1"/>
  <c r="C25" i="5" l="1"/>
  <c r="K10"/>
  <c r="A25" s="1"/>
  <c r="A29" s="1"/>
  <c r="K41" i="4"/>
  <c r="M37" s="1"/>
  <c r="M41" s="1"/>
  <c r="L41"/>
  <c r="N37" s="1"/>
  <c r="N41" s="1"/>
  <c r="O37" s="1"/>
  <c r="O41" s="1"/>
  <c r="A28" i="5" l="1"/>
  <c r="B50" i="1"/>
  <c r="B44" i="4" s="1"/>
  <c r="B51" i="1"/>
  <c r="B45" i="4" s="1"/>
</calcChain>
</file>

<file path=xl/sharedStrings.xml><?xml version="1.0" encoding="utf-8"?>
<sst xmlns="http://schemas.openxmlformats.org/spreadsheetml/2006/main" count="183" uniqueCount="82">
  <si>
    <t>R 1</t>
  </si>
  <si>
    <t>R 2</t>
  </si>
  <si>
    <t>R 3</t>
  </si>
  <si>
    <t>R 4</t>
  </si>
  <si>
    <t>R 5</t>
  </si>
  <si>
    <t>R 6</t>
  </si>
  <si>
    <t>R 7</t>
  </si>
  <si>
    <t>R 8</t>
  </si>
  <si>
    <t>NE</t>
  </si>
  <si>
    <t>NEN</t>
  </si>
  <si>
    <t>db</t>
  </si>
  <si>
    <t>min</t>
  </si>
  <si>
    <t>LT</t>
  </si>
  <si>
    <t>LT q ñ constem na NR15</t>
  </si>
  <si>
    <t>LT P/ NR15 NHT</t>
  </si>
  <si>
    <t>L.T. em min.</t>
  </si>
  <si>
    <t>n(dose)</t>
  </si>
  <si>
    <t>SETOR:</t>
  </si>
  <si>
    <t>Jornada de Trabalho(min.):</t>
  </si>
  <si>
    <t>MONTAGEM</t>
  </si>
  <si>
    <t>L.T. P/ PPRA, SEGUNDO NR15 (min.)</t>
  </si>
  <si>
    <t>L.T. P/  P.P.P. SEGUNDO NHO (min.)</t>
  </si>
  <si>
    <t>MIN</t>
  </si>
  <si>
    <t>L.T. P/  P.P.P. (NHO) min.</t>
  </si>
  <si>
    <t>L.T. P/ PPRA, (NR15) min.</t>
  </si>
  <si>
    <t>Parecer Técnico:</t>
  </si>
  <si>
    <t>TOTAL:</t>
  </si>
  <si>
    <t>POSTO DE TRABALHO x</t>
  </si>
  <si>
    <t>Tempo de exposição (min.):</t>
  </si>
  <si>
    <t xml:space="preserve">JORNADA DE </t>
  </si>
  <si>
    <t>NR15 (NHT)</t>
  </si>
  <si>
    <t>NHO 01</t>
  </si>
  <si>
    <t>NEQ</t>
  </si>
  <si>
    <t>TABELA DE QUANTIFICAÇÃO DE RUÍDO</t>
  </si>
  <si>
    <t>AMOSTRAS DE RUÍDOS (dB)</t>
  </si>
  <si>
    <t xml:space="preserve"> </t>
  </si>
  <si>
    <t>TRABALHO TOTAL</t>
  </si>
  <si>
    <t xml:space="preserve"> em 60 minutos</t>
  </si>
  <si>
    <t xml:space="preserve"> em 50 minutos</t>
  </si>
  <si>
    <t xml:space="preserve"> em 40 minutos</t>
  </si>
  <si>
    <t xml:space="preserve"> em 30 minutos</t>
  </si>
  <si>
    <t xml:space="preserve"> em 20 minutos</t>
  </si>
  <si>
    <t xml:space="preserve"> em 15 minutos</t>
  </si>
  <si>
    <t xml:space="preserve"> em 10 minutos</t>
  </si>
  <si>
    <t xml:space="preserve"> em 5 minutos</t>
  </si>
  <si>
    <r>
      <t xml:space="preserve">Número de impactos </t>
    </r>
    <r>
      <rPr>
        <sz val="10"/>
        <rFont val="Arial"/>
        <family val="2"/>
      </rPr>
      <t>ocorridos:</t>
    </r>
  </si>
  <si>
    <t>*Decibelímetro operando em</t>
  </si>
  <si>
    <t>LINEAR, no  circuito  de  res-</t>
  </si>
  <si>
    <t xml:space="preserve">n  </t>
  </si>
  <si>
    <t xml:space="preserve">*O cálculo do número de impactos ocorridos (diário), só </t>
  </si>
  <si>
    <t xml:space="preserve">  poderá  ser  utilizado caso o número de  impactos seja  </t>
  </si>
  <si>
    <t xml:space="preserve">  constante no tempo determinado. Caso contrário quan-</t>
  </si>
  <si>
    <t>Parecer técnico:</t>
  </si>
  <si>
    <t>Ruído de Impacto</t>
  </si>
  <si>
    <r>
      <t xml:space="preserve"> tificar a </t>
    </r>
    <r>
      <rPr>
        <sz val="10"/>
        <color indexed="57"/>
        <rFont val="Arial"/>
        <family val="2"/>
      </rPr>
      <t>JORNADA DIÁRIA INTEIRA</t>
    </r>
    <r>
      <rPr>
        <sz val="10"/>
        <rFont val="Arial"/>
        <family val="2"/>
      </rPr>
      <t xml:space="preserve"> </t>
    </r>
  </si>
  <si>
    <t>Nível de ruído constatado</t>
  </si>
  <si>
    <t>N H O        dB (LINEAR)</t>
  </si>
  <si>
    <t>circuito de resposposta FAST</t>
  </si>
  <si>
    <t>e circuito de compensação "C"</t>
  </si>
  <si>
    <r>
      <t>Np</t>
    </r>
    <r>
      <rPr>
        <sz val="10"/>
        <rFont val="Arial"/>
        <family val="2"/>
      </rPr>
      <t xml:space="preserve">   dB(LINEAR)</t>
    </r>
  </si>
  <si>
    <t xml:space="preserve">Jornada diária inteira </t>
  </si>
  <si>
    <t xml:space="preserve"> ESCOLHA APENAS UMA LÍNHA PARA O CÁLCULO </t>
  </si>
  <si>
    <t>Tempo de exposição (min.)</t>
  </si>
  <si>
    <r>
      <t xml:space="preserve"> </t>
    </r>
    <r>
      <rPr>
        <b/>
        <sz val="13"/>
        <color indexed="60"/>
        <rFont val="Arial"/>
        <family val="2"/>
      </rPr>
      <t>n</t>
    </r>
    <r>
      <rPr>
        <sz val="12"/>
        <rFont val="Arial"/>
        <family val="2"/>
      </rPr>
      <t xml:space="preserve"> - É o número de impactos  ocorridos na jornada diária.</t>
    </r>
  </si>
  <si>
    <r>
      <t>Np</t>
    </r>
    <r>
      <rPr>
        <b/>
        <sz val="10"/>
        <rFont val="Arial"/>
        <family val="2"/>
      </rPr>
      <t>)</t>
    </r>
  </si>
  <si>
    <r>
      <t>posta para IMPACTO.</t>
    </r>
    <r>
      <rPr>
        <b/>
        <sz val="10"/>
        <rFont val="Arial"/>
        <family val="2"/>
      </rPr>
      <t>(</t>
    </r>
    <r>
      <rPr>
        <sz val="10"/>
        <rFont val="Arial"/>
        <family val="2"/>
      </rPr>
      <t>para</t>
    </r>
  </si>
  <si>
    <t xml:space="preserve">NR 15  anexo 2      dB (c) </t>
  </si>
  <si>
    <r>
      <t xml:space="preserve"> Np</t>
    </r>
    <r>
      <rPr>
        <sz val="12"/>
        <rFont val="Arial"/>
        <family val="2"/>
      </rPr>
      <t>-Nível de pico máximo admissível, extraído em função ao número de</t>
    </r>
  </si>
  <si>
    <t xml:space="preserve"> impactos diários segundo tabela 2 da NHO 01. </t>
  </si>
  <si>
    <t xml:space="preserve">SETOR:   </t>
  </si>
  <si>
    <t>Ruído Contínuo - Posto de Trabalho Variado</t>
  </si>
  <si>
    <t>Ruído Contínuo - Posto de Trabalho Fixo</t>
  </si>
  <si>
    <t xml:space="preserve">Obs:Caso o número de postos de trabalho seja </t>
  </si>
  <si>
    <t xml:space="preserve">menor que 5, preencher o tempo de exposição </t>
  </si>
  <si>
    <t>dos que restaram com "zero".</t>
  </si>
  <si>
    <t xml:space="preserve">            </t>
  </si>
  <si>
    <t>ZELADOR</t>
  </si>
  <si>
    <t>LIMPEZA FÁBRICA - TORNOS</t>
  </si>
  <si>
    <t>LIMPEZA FÁBRICA - MONTAGEM</t>
  </si>
  <si>
    <t>LIMPEZA FABRICA GALVANOPLASTIA</t>
  </si>
  <si>
    <t>LIMPEZA BANHEIROS</t>
  </si>
  <si>
    <t>LIMPEZA ESCRIT PABRICA</t>
  </si>
</sst>
</file>

<file path=xl/styles.xml><?xml version="1.0" encoding="utf-8"?>
<styleSheet xmlns="http://schemas.openxmlformats.org/spreadsheetml/2006/main">
  <fonts count="33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sz val="20"/>
      <name val="Arial"/>
      <family val="2"/>
    </font>
    <font>
      <sz val="17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12"/>
      <color indexed="9"/>
      <name val="Arial"/>
      <family val="2"/>
    </font>
    <font>
      <sz val="10"/>
      <color indexed="23"/>
      <name val="Arial"/>
      <family val="2"/>
    </font>
    <font>
      <b/>
      <sz val="15"/>
      <color indexed="10"/>
      <name val="Arial"/>
      <family val="2"/>
    </font>
    <font>
      <sz val="10"/>
      <color indexed="57"/>
      <name val="Arial"/>
      <family val="2"/>
    </font>
    <font>
      <sz val="9"/>
      <color indexed="57"/>
      <name val="Arial"/>
      <family val="2"/>
    </font>
    <font>
      <b/>
      <sz val="13"/>
      <color indexed="60"/>
      <name val="Arial"/>
      <family val="2"/>
    </font>
    <font>
      <sz val="12"/>
      <color indexed="60"/>
      <name val="Arial"/>
      <family val="2"/>
    </font>
    <font>
      <b/>
      <sz val="10"/>
      <color indexed="52"/>
      <name val="Arial"/>
      <family val="2"/>
    </font>
    <font>
      <sz val="12"/>
      <color indexed="52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7"/>
      <name val="Arial"/>
      <family val="2"/>
    </font>
    <font>
      <sz val="10"/>
      <color indexed="9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2" fontId="6" fillId="3" borderId="2" xfId="0" applyNumberFormat="1" applyFont="1" applyFill="1" applyBorder="1" applyAlignment="1" applyProtection="1">
      <alignment horizontal="center" vertic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2" fontId="0" fillId="3" borderId="2" xfId="0" applyNumberFormat="1" applyFill="1" applyBorder="1" applyAlignment="1" applyProtection="1">
      <alignment horizontal="center"/>
      <protection hidden="1"/>
    </xf>
    <xf numFmtId="2" fontId="3" fillId="3" borderId="2" xfId="0" applyNumberFormat="1" applyFont="1" applyFill="1" applyBorder="1" applyAlignment="1" applyProtection="1">
      <alignment horizontal="center" vertical="center"/>
      <protection hidden="1"/>
    </xf>
    <xf numFmtId="2" fontId="3" fillId="3" borderId="9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/>
      <protection hidden="1"/>
    </xf>
    <xf numFmtId="1" fontId="0" fillId="3" borderId="2" xfId="0" applyNumberFormat="1" applyFill="1" applyBorder="1" applyAlignment="1" applyProtection="1">
      <alignment horizontal="center"/>
      <protection hidden="1"/>
    </xf>
    <xf numFmtId="2" fontId="3" fillId="3" borderId="10" xfId="0" applyNumberFormat="1" applyFont="1" applyFill="1" applyBorder="1" applyAlignment="1" applyProtection="1">
      <alignment horizontal="center" vertical="center"/>
      <protection hidden="1"/>
    </xf>
    <xf numFmtId="0" fontId="6" fillId="3" borderId="0" xfId="0" applyNumberFormat="1" applyFont="1" applyFill="1" applyBorder="1" applyAlignment="1" applyProtection="1">
      <alignment horizontal="left"/>
      <protection hidden="1"/>
    </xf>
    <xf numFmtId="0" fontId="0" fillId="3" borderId="3" xfId="0" applyFill="1" applyBorder="1" applyAlignment="1" applyProtection="1">
      <alignment horizontal="center"/>
      <protection hidden="1"/>
    </xf>
    <xf numFmtId="1" fontId="0" fillId="3" borderId="1" xfId="0" applyNumberFormat="1" applyFill="1" applyBorder="1" applyAlignment="1" applyProtection="1">
      <alignment horizontal="center"/>
      <protection hidden="1"/>
    </xf>
    <xf numFmtId="2" fontId="3" fillId="3" borderId="0" xfId="0" applyNumberFormat="1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right" vertical="center"/>
      <protection hidden="1"/>
    </xf>
    <xf numFmtId="0" fontId="4" fillId="3" borderId="12" xfId="0" applyFont="1" applyFill="1" applyBorder="1" applyAlignment="1" applyProtection="1">
      <alignment horizontal="right" vertical="center"/>
      <protection hidden="1"/>
    </xf>
    <xf numFmtId="0" fontId="0" fillId="3" borderId="13" xfId="0" applyFill="1" applyBorder="1" applyAlignment="1" applyProtection="1">
      <alignment horizontal="center"/>
      <protection hidden="1"/>
    </xf>
    <xf numFmtId="0" fontId="2" fillId="3" borderId="13" xfId="0" applyFont="1" applyFill="1" applyBorder="1" applyAlignment="1" applyProtection="1">
      <alignment horizontal="center"/>
      <protection hidden="1"/>
    </xf>
    <xf numFmtId="0" fontId="2" fillId="3" borderId="14" xfId="0" applyFont="1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15" xfId="0" applyFill="1" applyBorder="1" applyAlignment="1" applyProtection="1">
      <alignment horizontal="center"/>
      <protection hidden="1"/>
    </xf>
    <xf numFmtId="0" fontId="0" fillId="3" borderId="16" xfId="0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8" fillId="3" borderId="17" xfId="0" applyFont="1" applyFill="1" applyBorder="1" applyAlignment="1" applyProtection="1">
      <alignment horizontal="center"/>
      <protection hidden="1"/>
    </xf>
    <xf numFmtId="1" fontId="0" fillId="3" borderId="18" xfId="0" applyNumberFormat="1" applyFill="1" applyBorder="1" applyAlignment="1" applyProtection="1">
      <alignment horizontal="center"/>
      <protection hidden="1"/>
    </xf>
    <xf numFmtId="0" fontId="7" fillId="3" borderId="19" xfId="0" applyFont="1" applyFill="1" applyBorder="1" applyAlignment="1" applyProtection="1">
      <alignment horizontal="right"/>
      <protection hidden="1"/>
    </xf>
    <xf numFmtId="0" fontId="4" fillId="3" borderId="20" xfId="0" applyFont="1" applyFill="1" applyBorder="1" applyAlignment="1" applyProtection="1">
      <alignment horizontal="left" vertical="center"/>
      <protection hidden="1"/>
    </xf>
    <xf numFmtId="2" fontId="3" fillId="3" borderId="20" xfId="0" applyNumberFormat="1" applyFont="1" applyFill="1" applyBorder="1" applyAlignment="1" applyProtection="1">
      <alignment horizontal="center" vertical="center"/>
      <protection hidden="1"/>
    </xf>
    <xf numFmtId="2" fontId="3" fillId="3" borderId="21" xfId="0" applyNumberFormat="1" applyFont="1" applyFill="1" applyBorder="1" applyAlignment="1" applyProtection="1">
      <alignment horizontal="center" vertical="center"/>
      <protection hidden="1"/>
    </xf>
    <xf numFmtId="0" fontId="0" fillId="3" borderId="22" xfId="0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left" vertical="center"/>
      <protection hidden="1"/>
    </xf>
    <xf numFmtId="2" fontId="3" fillId="3" borderId="11" xfId="0" applyNumberFormat="1" applyFont="1" applyFill="1" applyBorder="1" applyAlignment="1" applyProtection="1">
      <alignment horizontal="center" vertical="center"/>
      <protection hidden="1"/>
    </xf>
    <xf numFmtId="2" fontId="3" fillId="3" borderId="23" xfId="0" applyNumberFormat="1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2" fontId="6" fillId="3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2" fillId="3" borderId="0" xfId="0" applyNumberFormat="1" applyFont="1" applyFill="1" applyBorder="1" applyAlignment="1" applyProtection="1">
      <alignment horizontal="left"/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0" fillId="3" borderId="24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2" fillId="3" borderId="25" xfId="0" applyFont="1" applyFill="1" applyBorder="1" applyAlignment="1" applyProtection="1">
      <alignment horizontal="center"/>
      <protection hidden="1"/>
    </xf>
    <xf numFmtId="0" fontId="8" fillId="3" borderId="23" xfId="0" applyFont="1" applyFill="1" applyBorder="1" applyAlignment="1" applyProtection="1">
      <alignment horizontal="center"/>
      <protection hidden="1"/>
    </xf>
    <xf numFmtId="0" fontId="8" fillId="3" borderId="26" xfId="0" applyFont="1" applyFill="1" applyBorder="1" applyAlignment="1" applyProtection="1">
      <alignment horizontal="center"/>
      <protection hidden="1"/>
    </xf>
    <xf numFmtId="0" fontId="7" fillId="3" borderId="27" xfId="0" applyFont="1" applyFill="1" applyBorder="1" applyAlignment="1" applyProtection="1">
      <alignment horizontal="right"/>
      <protection hidden="1"/>
    </xf>
    <xf numFmtId="0" fontId="3" fillId="3" borderId="11" xfId="0" applyFont="1" applyFill="1" applyBorder="1" applyAlignment="1" applyProtection="1">
      <alignment horizontal="left" vertical="top"/>
      <protection hidden="1"/>
    </xf>
    <xf numFmtId="0" fontId="0" fillId="0" borderId="0" xfId="0" applyAlignment="1"/>
    <xf numFmtId="0" fontId="11" fillId="0" borderId="0" xfId="0" applyFont="1" applyAlignment="1"/>
    <xf numFmtId="0" fontId="12" fillId="3" borderId="0" xfId="0" applyFont="1" applyFill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1" fontId="0" fillId="2" borderId="28" xfId="0" applyNumberFormat="1" applyFill="1" applyBorder="1" applyAlignment="1" applyProtection="1">
      <alignment horizontal="center" vertical="center"/>
      <protection locked="0"/>
    </xf>
    <xf numFmtId="1" fontId="0" fillId="3" borderId="28" xfId="0" applyNumberFormat="1" applyFill="1" applyBorder="1" applyAlignment="1" applyProtection="1">
      <alignment horizontal="center"/>
      <protection hidden="1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/>
      <protection hidden="1"/>
    </xf>
    <xf numFmtId="0" fontId="8" fillId="3" borderId="29" xfId="0" applyFont="1" applyFill="1" applyBorder="1" applyAlignment="1" applyProtection="1">
      <alignment horizontal="center"/>
      <protection hidden="1"/>
    </xf>
    <xf numFmtId="0" fontId="0" fillId="3" borderId="30" xfId="0" applyFill="1" applyBorder="1" applyAlignment="1" applyProtection="1">
      <alignment horizontal="center"/>
      <protection hidden="1"/>
    </xf>
    <xf numFmtId="0" fontId="0" fillId="3" borderId="0" xfId="0" applyFill="1" applyAlignment="1"/>
    <xf numFmtId="0" fontId="11" fillId="3" borderId="0" xfId="0" applyFont="1" applyFill="1" applyAlignment="1"/>
    <xf numFmtId="1" fontId="0" fillId="3" borderId="15" xfId="0" applyNumberFormat="1" applyFill="1" applyBorder="1" applyAlignment="1" applyProtection="1">
      <alignment horizontal="center"/>
      <protection hidden="1"/>
    </xf>
    <xf numFmtId="1" fontId="0" fillId="3" borderId="16" xfId="0" applyNumberFormat="1" applyFill="1" applyBorder="1" applyAlignment="1" applyProtection="1">
      <alignment horizontal="center"/>
      <protection hidden="1"/>
    </xf>
    <xf numFmtId="1" fontId="0" fillId="3" borderId="31" xfId="0" applyNumberFormat="1" applyFill="1" applyBorder="1" applyAlignment="1" applyProtection="1">
      <alignment horizontal="center"/>
      <protection hidden="1"/>
    </xf>
    <xf numFmtId="1" fontId="0" fillId="3" borderId="32" xfId="0" applyNumberFormat="1" applyFill="1" applyBorder="1" applyAlignment="1" applyProtection="1">
      <alignment horizontal="center"/>
      <protection hidden="1"/>
    </xf>
    <xf numFmtId="1" fontId="0" fillId="3" borderId="6" xfId="0" applyNumberFormat="1" applyFill="1" applyBorder="1" applyAlignment="1" applyProtection="1">
      <alignment horizontal="center"/>
      <protection hidden="1"/>
    </xf>
    <xf numFmtId="2" fontId="0" fillId="4" borderId="1" xfId="0" applyNumberForma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 hidden="1"/>
    </xf>
    <xf numFmtId="1" fontId="0" fillId="0" borderId="0" xfId="0" applyNumberFormat="1" applyBorder="1" applyAlignment="1" applyProtection="1">
      <alignment horizontal="center"/>
      <protection locked="0" hidden="1"/>
    </xf>
    <xf numFmtId="1" fontId="0" fillId="0" borderId="0" xfId="0" applyNumberFormat="1" applyProtection="1">
      <protection locked="0" hidden="1"/>
    </xf>
    <xf numFmtId="0" fontId="0" fillId="0" borderId="6" xfId="0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protection hidden="1"/>
    </xf>
    <xf numFmtId="0" fontId="4" fillId="3" borderId="33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1" fontId="2" fillId="3" borderId="34" xfId="0" applyNumberFormat="1" applyFont="1" applyFill="1" applyBorder="1" applyAlignment="1" applyProtection="1">
      <alignment horizontal="right" vertical="center"/>
      <protection hidden="1"/>
    </xf>
    <xf numFmtId="0" fontId="2" fillId="3" borderId="35" xfId="0" applyFont="1" applyFill="1" applyBorder="1" applyAlignment="1" applyProtection="1">
      <protection hidden="1"/>
    </xf>
    <xf numFmtId="0" fontId="2" fillId="3" borderId="36" xfId="0" applyFont="1" applyFill="1" applyBorder="1" applyAlignment="1" applyProtection="1">
      <protection hidden="1"/>
    </xf>
    <xf numFmtId="0" fontId="4" fillId="3" borderId="0" xfId="0" applyNumberFormat="1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2" fillId="3" borderId="37" xfId="0" applyFont="1" applyFill="1" applyBorder="1" applyAlignment="1" applyProtection="1">
      <alignment horizontal="left" vertical="center"/>
      <protection hidden="1"/>
    </xf>
    <xf numFmtId="0" fontId="14" fillId="3" borderId="20" xfId="0" applyFont="1" applyFill="1" applyBorder="1" applyAlignment="1" applyProtection="1">
      <protection hidden="1"/>
    </xf>
    <xf numFmtId="0" fontId="4" fillId="3" borderId="21" xfId="0" applyFont="1" applyFill="1" applyBorder="1" applyAlignment="1" applyProtection="1">
      <protection hidden="1"/>
    </xf>
    <xf numFmtId="0" fontId="2" fillId="3" borderId="38" xfId="0" applyFont="1" applyFill="1" applyBorder="1" applyAlignment="1" applyProtection="1">
      <protection hidden="1"/>
    </xf>
    <xf numFmtId="1" fontId="2" fillId="3" borderId="33" xfId="0" applyNumberFormat="1" applyFont="1" applyFill="1" applyBorder="1" applyAlignment="1" applyProtection="1">
      <protection hidden="1"/>
    </xf>
    <xf numFmtId="2" fontId="4" fillId="3" borderId="0" xfId="0" applyNumberFormat="1" applyFont="1" applyFill="1" applyBorder="1" applyAlignment="1" applyProtection="1">
      <alignment horizontal="center" vertical="center"/>
      <protection hidden="1"/>
    </xf>
    <xf numFmtId="2" fontId="2" fillId="3" borderId="0" xfId="0" applyNumberFormat="1" applyFont="1" applyFill="1" applyBorder="1" applyAlignment="1" applyProtection="1">
      <alignment horizontal="left" vertical="center"/>
      <protection hidden="1"/>
    </xf>
    <xf numFmtId="0" fontId="13" fillId="3" borderId="0" xfId="0" applyFont="1" applyFill="1" applyBorder="1" applyAlignment="1" applyProtection="1">
      <alignment horizontal="left"/>
      <protection hidden="1"/>
    </xf>
    <xf numFmtId="2" fontId="2" fillId="3" borderId="0" xfId="0" applyNumberFormat="1" applyFont="1" applyFill="1" applyBorder="1" applyAlignment="1" applyProtection="1">
      <alignment horizontal="center" vertical="center"/>
      <protection hidden="1"/>
    </xf>
    <xf numFmtId="1" fontId="2" fillId="3" borderId="34" xfId="0" applyNumberFormat="1" applyFont="1" applyFill="1" applyBorder="1" applyAlignment="1" applyProtection="1">
      <alignment horizontal="center" vertical="center"/>
      <protection hidden="1"/>
    </xf>
    <xf numFmtId="1" fontId="10" fillId="3" borderId="0" xfId="0" applyNumberFormat="1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19" fillId="3" borderId="39" xfId="0" applyNumberFormat="1" applyFont="1" applyFill="1" applyBorder="1" applyAlignment="1" applyProtection="1">
      <alignment horizontal="right" vertical="center"/>
      <protection hidden="1"/>
    </xf>
    <xf numFmtId="0" fontId="19" fillId="3" borderId="17" xfId="0" applyNumberFormat="1" applyFont="1" applyFill="1" applyBorder="1" applyAlignment="1" applyProtection="1">
      <alignment horizontal="right" vertical="center"/>
      <protection hidden="1"/>
    </xf>
    <xf numFmtId="0" fontId="19" fillId="3" borderId="40" xfId="0" applyNumberFormat="1" applyFont="1" applyFill="1" applyBorder="1" applyAlignment="1" applyProtection="1">
      <alignment horizontal="right" vertical="center"/>
      <protection hidden="1"/>
    </xf>
    <xf numFmtId="0" fontId="19" fillId="3" borderId="41" xfId="0" applyNumberFormat="1" applyFont="1" applyFill="1" applyBorder="1" applyAlignment="1" applyProtection="1">
      <alignment horizontal="right" vertical="center"/>
      <protection hidden="1"/>
    </xf>
    <xf numFmtId="0" fontId="4" fillId="3" borderId="42" xfId="0" applyNumberFormat="1" applyFont="1" applyFill="1" applyBorder="1" applyAlignment="1" applyProtection="1">
      <alignment horizontal="left"/>
      <protection hidden="1"/>
    </xf>
    <xf numFmtId="0" fontId="4" fillId="3" borderId="20" xfId="0" applyNumberFormat="1" applyFont="1" applyFill="1" applyBorder="1" applyAlignment="1" applyProtection="1">
      <alignment horizontal="left"/>
      <protection hidden="1"/>
    </xf>
    <xf numFmtId="0" fontId="22" fillId="3" borderId="35" xfId="0" applyFont="1" applyFill="1" applyBorder="1" applyAlignment="1" applyProtection="1">
      <alignment horizontal="left" vertical="center"/>
      <protection hidden="1"/>
    </xf>
    <xf numFmtId="0" fontId="4" fillId="3" borderId="0" xfId="0" applyNumberFormat="1" applyFont="1" applyFill="1" applyBorder="1" applyAlignment="1" applyProtection="1">
      <alignment horizontal="left" vertical="center"/>
      <protection hidden="1"/>
    </xf>
    <xf numFmtId="2" fontId="2" fillId="3" borderId="25" xfId="0" applyNumberFormat="1" applyFont="1" applyFill="1" applyBorder="1" applyAlignment="1" applyProtection="1">
      <alignment horizontal="left" vertical="center"/>
      <protection hidden="1"/>
    </xf>
    <xf numFmtId="0" fontId="2" fillId="3" borderId="10" xfId="0" applyFont="1" applyFill="1" applyBorder="1" applyAlignment="1" applyProtection="1">
      <alignment horizontal="left" vertical="center"/>
      <protection hidden="1"/>
    </xf>
    <xf numFmtId="2" fontId="2" fillId="3" borderId="10" xfId="0" applyNumberFormat="1" applyFont="1" applyFill="1" applyBorder="1" applyAlignment="1" applyProtection="1">
      <alignment horizontal="left" vertical="center"/>
      <protection hidden="1"/>
    </xf>
    <xf numFmtId="0" fontId="2" fillId="3" borderId="37" xfId="0" applyFont="1" applyFill="1" applyBorder="1" applyAlignment="1" applyProtection="1">
      <alignment horizontal="left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6" fillId="3" borderId="43" xfId="0" applyFont="1" applyFill="1" applyBorder="1" applyAlignment="1" applyProtection="1">
      <alignment horizontal="center" vertical="center"/>
      <protection hidden="1"/>
    </xf>
    <xf numFmtId="0" fontId="4" fillId="3" borderId="21" xfId="0" applyNumberFormat="1" applyFont="1" applyFill="1" applyBorder="1" applyAlignment="1" applyProtection="1">
      <alignment horizontal="left"/>
      <protection hidden="1"/>
    </xf>
    <xf numFmtId="0" fontId="2" fillId="3" borderId="8" xfId="0" applyFont="1" applyFill="1" applyBorder="1" applyAlignment="1" applyProtection="1">
      <alignment horizontal="left" vertical="top"/>
      <protection hidden="1"/>
    </xf>
    <xf numFmtId="0" fontId="4" fillId="3" borderId="44" xfId="0" applyNumberFormat="1" applyFont="1" applyFill="1" applyBorder="1" applyAlignment="1" applyProtection="1">
      <alignment horizontal="left"/>
      <protection hidden="1"/>
    </xf>
    <xf numFmtId="0" fontId="2" fillId="3" borderId="8" xfId="0" applyFont="1" applyFill="1" applyBorder="1" applyAlignment="1" applyProtection="1">
      <alignment horizontal="left"/>
      <protection hidden="1"/>
    </xf>
    <xf numFmtId="0" fontId="2" fillId="0" borderId="45" xfId="0" applyFont="1" applyFill="1" applyBorder="1" applyAlignment="1" applyProtection="1">
      <alignment horizontal="left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protection hidden="1"/>
    </xf>
    <xf numFmtId="0" fontId="4" fillId="3" borderId="23" xfId="0" applyFont="1" applyFill="1" applyBorder="1" applyAlignment="1" applyProtection="1">
      <protection hidden="1"/>
    </xf>
    <xf numFmtId="2" fontId="2" fillId="3" borderId="11" xfId="0" applyNumberFormat="1" applyFont="1" applyFill="1" applyBorder="1" applyAlignment="1" applyProtection="1">
      <alignment horizontal="left" vertical="center"/>
      <protection hidden="1"/>
    </xf>
    <xf numFmtId="0" fontId="4" fillId="3" borderId="11" xfId="0" applyFont="1" applyFill="1" applyBorder="1" applyAlignment="1" applyProtection="1">
      <alignment horizontal="center"/>
      <protection hidden="1"/>
    </xf>
    <xf numFmtId="0" fontId="4" fillId="3" borderId="20" xfId="0" applyFont="1" applyFill="1" applyBorder="1" applyAlignment="1" applyProtection="1">
      <alignment horizontal="center"/>
      <protection hidden="1"/>
    </xf>
    <xf numFmtId="0" fontId="13" fillId="3" borderId="0" xfId="0" applyFont="1" applyFill="1" applyBorder="1" applyAlignment="1" applyProtection="1">
      <alignment horizontal="center" vertical="center"/>
      <protection hidden="1"/>
    </xf>
    <xf numFmtId="0" fontId="4" fillId="3" borderId="46" xfId="0" applyFont="1" applyFill="1" applyBorder="1" applyAlignment="1" applyProtection="1">
      <protection hidden="1"/>
    </xf>
    <xf numFmtId="0" fontId="17" fillId="3" borderId="20" xfId="0" applyFont="1" applyFill="1" applyBorder="1" applyAlignment="1" applyProtection="1">
      <alignment horizontal="left" vertical="center"/>
      <protection hidden="1"/>
    </xf>
    <xf numFmtId="1" fontId="4" fillId="3" borderId="0" xfId="0" applyNumberFormat="1" applyFont="1" applyFill="1" applyBorder="1" applyAlignment="1" applyProtection="1">
      <protection hidden="1"/>
    </xf>
    <xf numFmtId="0" fontId="20" fillId="3" borderId="0" xfId="0" applyFont="1" applyFill="1" applyBorder="1" applyAlignment="1" applyProtection="1">
      <alignment horizontal="left"/>
      <protection hidden="1"/>
    </xf>
    <xf numFmtId="0" fontId="4" fillId="3" borderId="47" xfId="0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right"/>
      <protection hidden="1"/>
    </xf>
    <xf numFmtId="0" fontId="4" fillId="3" borderId="8" xfId="0" applyFont="1" applyFill="1" applyBorder="1" applyAlignment="1" applyProtection="1">
      <protection hidden="1"/>
    </xf>
    <xf numFmtId="0" fontId="4" fillId="3" borderId="45" xfId="0" applyFont="1" applyFill="1" applyBorder="1" applyAlignment="1" applyProtection="1">
      <protection hidden="1"/>
    </xf>
    <xf numFmtId="0" fontId="4" fillId="3" borderId="48" xfId="0" applyFont="1" applyFill="1" applyBorder="1" applyAlignment="1" applyProtection="1">
      <protection hidden="1"/>
    </xf>
    <xf numFmtId="0" fontId="4" fillId="3" borderId="44" xfId="0" applyFont="1" applyFill="1" applyBorder="1" applyAlignment="1" applyProtection="1">
      <protection hidden="1"/>
    </xf>
    <xf numFmtId="0" fontId="6" fillId="3" borderId="37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6" fillId="3" borderId="45" xfId="0" applyFont="1" applyFill="1" applyBorder="1" applyAlignment="1" applyProtection="1">
      <alignment horizontal="center" vertical="center"/>
      <protection hidden="1"/>
    </xf>
    <xf numFmtId="0" fontId="4" fillId="3" borderId="25" xfId="0" applyNumberFormat="1" applyFont="1" applyFill="1" applyBorder="1" applyAlignment="1" applyProtection="1">
      <alignment horizontal="left" vertical="center"/>
      <protection hidden="1"/>
    </xf>
    <xf numFmtId="0" fontId="4" fillId="3" borderId="10" xfId="0" applyNumberFormat="1" applyFont="1" applyFill="1" applyBorder="1" applyAlignment="1" applyProtection="1">
      <alignment horizontal="left"/>
      <protection hidden="1"/>
    </xf>
    <xf numFmtId="0" fontId="4" fillId="3" borderId="26" xfId="0" applyFont="1" applyFill="1" applyBorder="1" applyAlignment="1" applyProtection="1">
      <alignment vertical="top"/>
      <protection hidden="1"/>
    </xf>
    <xf numFmtId="2" fontId="2" fillId="3" borderId="23" xfId="0" applyNumberFormat="1" applyFont="1" applyFill="1" applyBorder="1" applyAlignment="1" applyProtection="1">
      <alignment horizontal="left" vertical="center"/>
      <protection hidden="1"/>
    </xf>
    <xf numFmtId="0" fontId="4" fillId="3" borderId="44" xfId="0" applyFont="1" applyFill="1" applyBorder="1" applyAlignment="1" applyProtection="1">
      <alignment horizontal="center"/>
      <protection hidden="1"/>
    </xf>
    <xf numFmtId="2" fontId="26" fillId="3" borderId="37" xfId="0" applyNumberFormat="1" applyFont="1" applyFill="1" applyBorder="1" applyAlignment="1" applyProtection="1">
      <alignment horizontal="left" vertical="center"/>
      <protection hidden="1"/>
    </xf>
    <xf numFmtId="0" fontId="15" fillId="3" borderId="11" xfId="0" applyFont="1" applyFill="1" applyBorder="1" applyAlignment="1" applyProtection="1">
      <alignment horizontal="center" vertical="center"/>
      <protection hidden="1"/>
    </xf>
    <xf numFmtId="0" fontId="23" fillId="3" borderId="26" xfId="0" applyFont="1" applyFill="1" applyBorder="1" applyAlignment="1" applyProtection="1">
      <alignment horizontal="center" vertical="center"/>
      <protection hidden="1"/>
    </xf>
    <xf numFmtId="0" fontId="24" fillId="3" borderId="49" xfId="0" applyFont="1" applyFill="1" applyBorder="1" applyAlignment="1" applyProtection="1">
      <alignment horizontal="left"/>
      <protection hidden="1"/>
    </xf>
    <xf numFmtId="0" fontId="4" fillId="3" borderId="50" xfId="0" applyFont="1" applyFill="1" applyBorder="1" applyAlignment="1" applyProtection="1">
      <protection hidden="1"/>
    </xf>
    <xf numFmtId="0" fontId="4" fillId="3" borderId="51" xfId="0" applyFont="1" applyFill="1" applyBorder="1" applyAlignment="1" applyProtection="1">
      <alignment horizontal="center"/>
      <protection hidden="1"/>
    </xf>
    <xf numFmtId="0" fontId="15" fillId="2" borderId="1" xfId="0" applyFont="1" applyFill="1" applyBorder="1" applyAlignment="1" applyProtection="1">
      <alignment horizontal="center"/>
      <protection locked="0"/>
    </xf>
    <xf numFmtId="1" fontId="15" fillId="2" borderId="6" xfId="0" applyNumberFormat="1" applyFont="1" applyFill="1" applyBorder="1" applyAlignment="1" applyProtection="1">
      <alignment horizontal="center" vertical="center"/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52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left" vertical="center"/>
      <protection hidden="1"/>
    </xf>
    <xf numFmtId="0" fontId="2" fillId="3" borderId="21" xfId="0" applyFont="1" applyFill="1" applyBorder="1" applyAlignment="1" applyProtection="1">
      <alignment horizontal="left" vertical="center"/>
      <protection hidden="1"/>
    </xf>
    <xf numFmtId="0" fontId="4" fillId="3" borderId="45" xfId="0" applyFont="1" applyFill="1" applyBorder="1" applyAlignment="1" applyProtection="1">
      <alignment horizontal="left" vertical="center"/>
      <protection hidden="1"/>
    </xf>
    <xf numFmtId="2" fontId="25" fillId="3" borderId="44" xfId="0" applyNumberFormat="1" applyFont="1" applyFill="1" applyBorder="1" applyAlignment="1" applyProtection="1">
      <alignment horizontal="left" vertical="center"/>
      <protection hidden="1"/>
    </xf>
    <xf numFmtId="1" fontId="13" fillId="3" borderId="53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4" fillId="2" borderId="54" xfId="0" applyFont="1" applyFill="1" applyBorder="1" applyAlignment="1" applyProtection="1">
      <alignment horizontal="center" vertical="center"/>
      <protection hidden="1"/>
    </xf>
    <xf numFmtId="2" fontId="0" fillId="3" borderId="0" xfId="0" applyNumberFormat="1" applyFill="1" applyBorder="1" applyAlignment="1" applyProtection="1">
      <alignment horizontal="center"/>
      <protection hidden="1"/>
    </xf>
    <xf numFmtId="0" fontId="5" fillId="3" borderId="37" xfId="0" applyFont="1" applyFill="1" applyBorder="1" applyAlignment="1" applyProtection="1">
      <alignment horizontal="center" vertical="top"/>
      <protection hidden="1"/>
    </xf>
    <xf numFmtId="2" fontId="0" fillId="3" borderId="44" xfId="0" applyNumberFormat="1" applyFill="1" applyBorder="1" applyAlignment="1" applyProtection="1">
      <alignment horizontal="center"/>
      <protection hidden="1"/>
    </xf>
    <xf numFmtId="1" fontId="0" fillId="3" borderId="55" xfId="0" applyNumberForma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protection hidden="1"/>
    </xf>
    <xf numFmtId="0" fontId="31" fillId="3" borderId="0" xfId="0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31" fillId="0" borderId="0" xfId="0" applyFont="1" applyAlignment="1" applyProtection="1">
      <protection hidden="1"/>
    </xf>
    <xf numFmtId="0" fontId="31" fillId="0" borderId="0" xfId="0" applyFont="1" applyFill="1" applyAlignment="1" applyProtection="1">
      <protection hidden="1"/>
    </xf>
    <xf numFmtId="0" fontId="32" fillId="3" borderId="20" xfId="0" applyFont="1" applyFill="1" applyBorder="1" applyAlignment="1" applyProtection="1">
      <alignment horizontal="left"/>
      <protection hidden="1"/>
    </xf>
    <xf numFmtId="0" fontId="32" fillId="0" borderId="0" xfId="0" applyFont="1" applyFill="1" applyBorder="1" applyAlignment="1" applyProtection="1">
      <alignment horizontal="left"/>
      <protection hidden="1"/>
    </xf>
    <xf numFmtId="0" fontId="32" fillId="3" borderId="11" xfId="0" applyFont="1" applyFill="1" applyBorder="1" applyAlignment="1" applyProtection="1">
      <alignment horizontal="left" vertical="top"/>
      <protection hidden="1"/>
    </xf>
    <xf numFmtId="0" fontId="27" fillId="3" borderId="0" xfId="0" applyFont="1" applyFill="1" applyAlignment="1" applyProtection="1">
      <alignment horizontal="left" vertical="top"/>
      <protection hidden="1"/>
    </xf>
    <xf numFmtId="0" fontId="28" fillId="0" borderId="0" xfId="0" applyFont="1" applyFill="1" applyAlignment="1" applyProtection="1">
      <alignment horizontal="left"/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29" fillId="3" borderId="0" xfId="0" applyFont="1" applyFill="1" applyAlignment="1" applyProtection="1">
      <alignment horizontal="left" vertical="center"/>
      <protection hidden="1"/>
    </xf>
    <xf numFmtId="2" fontId="6" fillId="3" borderId="1" xfId="0" applyNumberFormat="1" applyFont="1" applyFill="1" applyBorder="1" applyAlignment="1" applyProtection="1">
      <alignment horizontal="center" vertical="center"/>
      <protection hidden="1"/>
    </xf>
    <xf numFmtId="2" fontId="6" fillId="3" borderId="52" xfId="0" applyNumberFormat="1" applyFont="1" applyFill="1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 applyProtection="1">
      <alignment horizontal="center" vertical="center"/>
      <protection locked="0" hidden="1"/>
    </xf>
    <xf numFmtId="0" fontId="2" fillId="3" borderId="45" xfId="0" applyFont="1" applyFill="1" applyBorder="1" applyAlignment="1" applyProtection="1">
      <alignment horizontal="center" vertical="center"/>
      <protection locked="0" hidden="1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6" fillId="3" borderId="0" xfId="0" applyNumberFormat="1" applyFont="1" applyFill="1" applyBorder="1" applyAlignment="1" applyProtection="1">
      <alignment horizontal="left"/>
      <protection hidden="1"/>
    </xf>
    <xf numFmtId="0" fontId="4" fillId="0" borderId="37" xfId="0" applyNumberFormat="1" applyFont="1" applyFill="1" applyBorder="1" applyAlignment="1" applyProtection="1">
      <alignment horizontal="left"/>
      <protection hidden="1"/>
    </xf>
    <xf numFmtId="0" fontId="4" fillId="0" borderId="20" xfId="0" applyNumberFormat="1" applyFont="1" applyFill="1" applyBorder="1" applyAlignment="1" applyProtection="1">
      <alignment horizontal="left"/>
      <protection hidden="1"/>
    </xf>
    <xf numFmtId="0" fontId="4" fillId="0" borderId="0" xfId="0" applyNumberFormat="1" applyFont="1" applyFill="1" applyBorder="1" applyAlignment="1" applyProtection="1">
      <alignment horizontal="left"/>
      <protection hidden="1"/>
    </xf>
    <xf numFmtId="0" fontId="4" fillId="0" borderId="44" xfId="0" applyNumberFormat="1" applyFont="1" applyFill="1" applyBorder="1" applyAlignment="1" applyProtection="1">
      <alignment horizontal="left"/>
      <protection hidden="1"/>
    </xf>
    <xf numFmtId="0" fontId="4" fillId="0" borderId="45" xfId="0" applyNumberFormat="1" applyFont="1" applyFill="1" applyBorder="1" applyAlignment="1" applyProtection="1">
      <alignment horizontal="left"/>
      <protection hidden="1"/>
    </xf>
    <xf numFmtId="0" fontId="4" fillId="0" borderId="11" xfId="0" applyNumberFormat="1" applyFont="1" applyFill="1" applyBorder="1" applyAlignment="1" applyProtection="1">
      <alignment horizontal="left"/>
      <protection hidden="1"/>
    </xf>
    <xf numFmtId="0" fontId="4" fillId="0" borderId="23" xfId="0" applyNumberFormat="1" applyFont="1" applyFill="1" applyBorder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0" fontId="0" fillId="3" borderId="60" xfId="0" applyFill="1" applyBorder="1" applyAlignment="1" applyProtection="1">
      <alignment horizontal="right" vertical="center"/>
      <protection hidden="1"/>
    </xf>
    <xf numFmtId="0" fontId="0" fillId="3" borderId="61" xfId="0" applyFill="1" applyBorder="1" applyAlignment="1" applyProtection="1">
      <alignment horizontal="right" vertical="center"/>
      <protection hidden="1"/>
    </xf>
    <xf numFmtId="0" fontId="0" fillId="3" borderId="45" xfId="0" applyFill="1" applyBorder="1" applyAlignment="1" applyProtection="1">
      <alignment horizontal="right" vertical="center"/>
      <protection hidden="1"/>
    </xf>
    <xf numFmtId="0" fontId="0" fillId="3" borderId="12" xfId="0" applyFill="1" applyBorder="1" applyAlignment="1" applyProtection="1">
      <alignment horizontal="right" vertical="center"/>
      <protection hidden="1"/>
    </xf>
    <xf numFmtId="0" fontId="0" fillId="3" borderId="37" xfId="0" applyFill="1" applyBorder="1" applyAlignment="1" applyProtection="1">
      <alignment horizontal="center"/>
      <protection hidden="1"/>
    </xf>
    <xf numFmtId="0" fontId="0" fillId="3" borderId="20" xfId="0" applyFill="1" applyBorder="1" applyProtection="1">
      <protection hidden="1"/>
    </xf>
    <xf numFmtId="2" fontId="6" fillId="3" borderId="6" xfId="0" applyNumberFormat="1" applyFont="1" applyFill="1" applyBorder="1" applyAlignment="1" applyProtection="1">
      <alignment horizontal="center" vertical="center"/>
      <protection hidden="1"/>
    </xf>
    <xf numFmtId="0" fontId="9" fillId="2" borderId="49" xfId="0" applyFont="1" applyFill="1" applyBorder="1" applyAlignment="1" applyProtection="1">
      <alignment horizontal="left" vertical="center"/>
      <protection locked="0"/>
    </xf>
    <xf numFmtId="0" fontId="9" fillId="2" borderId="21" xfId="0" applyFont="1" applyFill="1" applyBorder="1" applyAlignment="1" applyProtection="1">
      <alignment horizontal="left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right" vertical="center"/>
      <protection hidden="1"/>
    </xf>
    <xf numFmtId="0" fontId="4" fillId="3" borderId="12" xfId="0" applyFont="1" applyFill="1" applyBorder="1" applyAlignment="1" applyProtection="1">
      <alignment horizontal="right" vertical="center"/>
      <protection hidden="1"/>
    </xf>
    <xf numFmtId="2" fontId="6" fillId="3" borderId="40" xfId="0" applyNumberFormat="1" applyFont="1" applyFill="1" applyBorder="1" applyAlignment="1" applyProtection="1">
      <alignment horizontal="center" vertical="center"/>
      <protection hidden="1"/>
    </xf>
    <xf numFmtId="2" fontId="6" fillId="3" borderId="41" xfId="0" applyNumberFormat="1" applyFont="1" applyFill="1" applyBorder="1" applyAlignment="1" applyProtection="1">
      <alignment horizontal="center" vertical="center"/>
      <protection hidden="1"/>
    </xf>
    <xf numFmtId="2" fontId="6" fillId="3" borderId="65" xfId="0" applyNumberFormat="1" applyFont="1" applyFill="1" applyBorder="1" applyAlignment="1" applyProtection="1">
      <alignment horizontal="center" vertical="center"/>
      <protection hidden="1"/>
    </xf>
    <xf numFmtId="0" fontId="14" fillId="3" borderId="37" xfId="0" applyFont="1" applyFill="1" applyBorder="1" applyAlignment="1" applyProtection="1">
      <alignment horizontal="center" vertical="center"/>
      <protection hidden="1"/>
    </xf>
    <xf numFmtId="0" fontId="14" fillId="3" borderId="66" xfId="0" applyFont="1" applyFill="1" applyBorder="1" applyAlignment="1" applyProtection="1">
      <alignment horizontal="center" vertical="center"/>
      <protection hidden="1"/>
    </xf>
    <xf numFmtId="0" fontId="14" fillId="3" borderId="8" xfId="0" applyFont="1" applyFill="1" applyBorder="1" applyAlignment="1" applyProtection="1">
      <alignment horizontal="center" vertical="center"/>
      <protection hidden="1"/>
    </xf>
    <xf numFmtId="0" fontId="14" fillId="3" borderId="67" xfId="0" applyFont="1" applyFill="1" applyBorder="1" applyAlignment="1" applyProtection="1">
      <alignment horizontal="center" vertical="center"/>
      <protection hidden="1"/>
    </xf>
    <xf numFmtId="0" fontId="14" fillId="3" borderId="45" xfId="0" applyFont="1" applyFill="1" applyBorder="1" applyAlignment="1" applyProtection="1">
      <alignment horizontal="center" vertical="center"/>
      <protection hidden="1"/>
    </xf>
    <xf numFmtId="0" fontId="14" fillId="3" borderId="68" xfId="0" applyFont="1" applyFill="1" applyBorder="1" applyAlignment="1" applyProtection="1">
      <alignment horizontal="center" vertical="center"/>
      <protection hidden="1"/>
    </xf>
    <xf numFmtId="2" fontId="6" fillId="3" borderId="69" xfId="0" applyNumberFormat="1" applyFont="1" applyFill="1" applyBorder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2" fontId="6" fillId="3" borderId="58" xfId="0" applyNumberFormat="1" applyFont="1" applyFill="1" applyBorder="1" applyAlignment="1" applyProtection="1">
      <alignment horizontal="center" vertical="center"/>
      <protection hidden="1"/>
    </xf>
    <xf numFmtId="2" fontId="6" fillId="3" borderId="70" xfId="0" applyNumberFormat="1" applyFont="1" applyFill="1" applyBorder="1" applyAlignment="1" applyProtection="1">
      <alignment horizontal="center" vertical="center"/>
      <protection hidden="1"/>
    </xf>
    <xf numFmtId="0" fontId="0" fillId="3" borderId="20" xfId="0" applyFill="1" applyBorder="1" applyAlignment="1" applyProtection="1">
      <alignment horizontal="center"/>
      <protection hidden="1"/>
    </xf>
    <xf numFmtId="0" fontId="2" fillId="3" borderId="19" xfId="0" applyFont="1" applyFill="1" applyBorder="1" applyAlignment="1" applyProtection="1">
      <alignment horizontal="center" vertical="center"/>
      <protection hidden="1"/>
    </xf>
    <xf numFmtId="0" fontId="2" fillId="3" borderId="22" xfId="0" applyFont="1" applyFill="1" applyBorder="1" applyAlignment="1" applyProtection="1">
      <alignment horizontal="center" vertical="center"/>
      <protection hidden="1"/>
    </xf>
    <xf numFmtId="0" fontId="9" fillId="2" borderId="49" xfId="0" applyFont="1" applyFill="1" applyBorder="1" applyAlignment="1" applyProtection="1">
      <alignment horizontal="left"/>
      <protection locked="0"/>
    </xf>
    <xf numFmtId="0" fontId="9" fillId="2" borderId="21" xfId="0" applyFont="1" applyFill="1" applyBorder="1" applyAlignment="1" applyProtection="1">
      <alignment horizontal="left"/>
      <protection locked="0"/>
    </xf>
    <xf numFmtId="2" fontId="6" fillId="3" borderId="30" xfId="0" applyNumberFormat="1" applyFont="1" applyFill="1" applyBorder="1" applyAlignment="1" applyProtection="1">
      <alignment horizontal="center" vertical="center"/>
      <protection hidden="1"/>
    </xf>
    <xf numFmtId="2" fontId="6" fillId="3" borderId="27" xfId="0" applyNumberFormat="1" applyFont="1" applyFill="1" applyBorder="1" applyAlignment="1" applyProtection="1">
      <alignment horizontal="center" vertical="center"/>
      <protection hidden="1"/>
    </xf>
    <xf numFmtId="2" fontId="6" fillId="3" borderId="22" xfId="0" applyNumberFormat="1" applyFont="1" applyFill="1" applyBorder="1" applyAlignment="1" applyProtection="1">
      <alignment horizontal="center" vertical="center"/>
      <protection hidden="1"/>
    </xf>
    <xf numFmtId="2" fontId="6" fillId="3" borderId="24" xfId="0" applyNumberFormat="1" applyFont="1" applyFill="1" applyBorder="1" applyAlignment="1" applyProtection="1">
      <alignment horizontal="center" vertical="center"/>
      <protection hidden="1"/>
    </xf>
    <xf numFmtId="2" fontId="6" fillId="3" borderId="9" xfId="0" applyNumberFormat="1" applyFont="1" applyFill="1" applyBorder="1" applyAlignment="1" applyProtection="1">
      <alignment horizontal="center" vertical="center"/>
      <protection hidden="1"/>
    </xf>
    <xf numFmtId="2" fontId="6" fillId="3" borderId="59" xfId="0" applyNumberFormat="1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left" vertical="center"/>
      <protection hidden="1"/>
    </xf>
    <xf numFmtId="0" fontId="4" fillId="3" borderId="11" xfId="0" applyFont="1" applyFill="1" applyBorder="1" applyAlignment="1" applyProtection="1">
      <alignment horizontal="left" vertical="center"/>
      <protection hidden="1"/>
    </xf>
    <xf numFmtId="0" fontId="4" fillId="3" borderId="23" xfId="0" applyFont="1" applyFill="1" applyBorder="1" applyAlignment="1" applyProtection="1">
      <alignment horizontal="left" vertical="center"/>
      <protection hidden="1"/>
    </xf>
    <xf numFmtId="0" fontId="0" fillId="3" borderId="47" xfId="0" applyFill="1" applyBorder="1" applyAlignment="1" applyProtection="1">
      <alignment horizontal="right" vertical="center"/>
      <protection hidden="1"/>
    </xf>
    <xf numFmtId="0" fontId="0" fillId="3" borderId="64" xfId="0" applyFill="1" applyBorder="1" applyAlignment="1" applyProtection="1">
      <alignment horizontal="right" vertical="center"/>
      <protection hidden="1"/>
    </xf>
    <xf numFmtId="0" fontId="4" fillId="3" borderId="28" xfId="0" applyFont="1" applyFill="1" applyBorder="1" applyAlignment="1" applyProtection="1">
      <alignment horizontal="left" vertical="center"/>
      <protection hidden="1"/>
    </xf>
    <xf numFmtId="0" fontId="4" fillId="3" borderId="20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0" fontId="4" fillId="3" borderId="44" xfId="0" applyFont="1" applyFill="1" applyBorder="1" applyAlignment="1" applyProtection="1">
      <alignment horizontal="left" vertical="center"/>
      <protection hidden="1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62" xfId="0" applyFill="1" applyBorder="1" applyAlignment="1" applyProtection="1">
      <alignment horizontal="right" vertical="center"/>
      <protection hidden="1"/>
    </xf>
    <xf numFmtId="0" fontId="0" fillId="3" borderId="63" xfId="0" applyFill="1" applyBorder="1" applyAlignment="1" applyProtection="1">
      <alignment horizontal="right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5" fillId="3" borderId="45" xfId="0" applyFont="1" applyFill="1" applyBorder="1" applyAlignment="1" applyProtection="1">
      <alignment horizontal="center" vertical="center"/>
      <protection hidden="1"/>
    </xf>
    <xf numFmtId="0" fontId="30" fillId="3" borderId="14" xfId="0" applyFont="1" applyFill="1" applyBorder="1" applyAlignment="1" applyProtection="1">
      <alignment horizontal="center" vertical="center"/>
      <protection hidden="1"/>
    </xf>
    <xf numFmtId="0" fontId="30" fillId="3" borderId="9" xfId="0" applyFont="1" applyFill="1" applyBorder="1" applyAlignment="1" applyProtection="1">
      <alignment horizontal="center" vertical="center"/>
      <protection hidden="1"/>
    </xf>
    <xf numFmtId="0" fontId="30" fillId="3" borderId="59" xfId="0" applyFont="1" applyFill="1" applyBorder="1" applyAlignment="1" applyProtection="1">
      <alignment horizontal="center" vertical="center"/>
      <protection hidden="1"/>
    </xf>
    <xf numFmtId="1" fontId="10" fillId="2" borderId="74" xfId="0" applyNumberFormat="1" applyFont="1" applyFill="1" applyBorder="1" applyAlignment="1" applyProtection="1">
      <alignment horizontal="center" vertical="center"/>
      <protection locked="0"/>
    </xf>
    <xf numFmtId="1" fontId="10" fillId="2" borderId="75" xfId="0" applyNumberFormat="1" applyFont="1" applyFill="1" applyBorder="1" applyAlignment="1" applyProtection="1">
      <alignment horizontal="center" vertical="center"/>
      <protection locked="0"/>
    </xf>
    <xf numFmtId="1" fontId="10" fillId="2" borderId="0" xfId="0" applyNumberFormat="1" applyFont="1" applyFill="1" applyBorder="1" applyAlignment="1" applyProtection="1">
      <alignment horizontal="center" vertical="center"/>
      <protection locked="0"/>
    </xf>
    <xf numFmtId="1" fontId="10" fillId="2" borderId="44" xfId="0" applyNumberFormat="1" applyFont="1" applyFill="1" applyBorder="1" applyAlignment="1" applyProtection="1">
      <alignment horizontal="center" vertical="center"/>
      <protection locked="0"/>
    </xf>
    <xf numFmtId="1" fontId="10" fillId="2" borderId="11" xfId="0" applyNumberFormat="1" applyFont="1" applyFill="1" applyBorder="1" applyAlignment="1" applyProtection="1">
      <alignment horizontal="center" vertical="center"/>
      <protection locked="0"/>
    </xf>
    <xf numFmtId="1" fontId="10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15" fillId="3" borderId="45" xfId="0" applyFont="1" applyFill="1" applyBorder="1" applyAlignment="1" applyProtection="1">
      <alignment horizontal="center" vertical="center"/>
      <protection hidden="1"/>
    </xf>
    <xf numFmtId="0" fontId="15" fillId="3" borderId="23" xfId="0" applyFont="1" applyFill="1" applyBorder="1" applyAlignment="1" applyProtection="1">
      <alignment horizontal="center" vertical="center"/>
      <protection hidden="1"/>
    </xf>
    <xf numFmtId="1" fontId="10" fillId="3" borderId="37" xfId="0" applyNumberFormat="1" applyFont="1" applyFill="1" applyBorder="1" applyAlignment="1" applyProtection="1">
      <alignment horizontal="center" vertical="center"/>
      <protection hidden="1"/>
    </xf>
    <xf numFmtId="1" fontId="10" fillId="3" borderId="21" xfId="0" applyNumberFormat="1" applyFont="1" applyFill="1" applyBorder="1" applyAlignment="1" applyProtection="1">
      <alignment horizontal="center" vertical="center"/>
      <protection hidden="1"/>
    </xf>
    <xf numFmtId="1" fontId="10" fillId="3" borderId="8" xfId="0" applyNumberFormat="1" applyFont="1" applyFill="1" applyBorder="1" applyAlignment="1" applyProtection="1">
      <alignment horizontal="center" vertical="center"/>
      <protection hidden="1"/>
    </xf>
    <xf numFmtId="1" fontId="10" fillId="3" borderId="44" xfId="0" applyNumberFormat="1" applyFont="1" applyFill="1" applyBorder="1" applyAlignment="1" applyProtection="1">
      <alignment horizontal="center" vertical="center"/>
      <protection hidden="1"/>
    </xf>
    <xf numFmtId="1" fontId="10" fillId="3" borderId="45" xfId="0" applyNumberFormat="1" applyFont="1" applyFill="1" applyBorder="1" applyAlignment="1" applyProtection="1">
      <alignment horizontal="center" vertical="center"/>
      <protection hidden="1"/>
    </xf>
    <xf numFmtId="1" fontId="10" fillId="3" borderId="23" xfId="0" applyNumberFormat="1" applyFont="1" applyFill="1" applyBorder="1" applyAlignment="1" applyProtection="1">
      <alignment horizontal="center" vertical="center"/>
      <protection hidden="1"/>
    </xf>
    <xf numFmtId="0" fontId="25" fillId="3" borderId="45" xfId="0" applyFont="1" applyFill="1" applyBorder="1" applyAlignment="1" applyProtection="1">
      <alignment horizontal="center" vertical="center"/>
      <protection hidden="1"/>
    </xf>
    <xf numFmtId="0" fontId="13" fillId="3" borderId="51" xfId="0" applyFont="1" applyFill="1" applyBorder="1" applyAlignment="1" applyProtection="1">
      <alignment horizontal="center" vertical="center"/>
      <protection hidden="1"/>
    </xf>
    <xf numFmtId="1" fontId="16" fillId="3" borderId="25" xfId="0" applyNumberFormat="1" applyFont="1" applyFill="1" applyBorder="1" applyAlignment="1" applyProtection="1">
      <alignment horizontal="center" vertical="center"/>
      <protection hidden="1"/>
    </xf>
    <xf numFmtId="1" fontId="16" fillId="3" borderId="10" xfId="0" applyNumberFormat="1" applyFont="1" applyFill="1" applyBorder="1" applyAlignment="1" applyProtection="1">
      <alignment horizontal="center" vertical="center"/>
      <protection hidden="1"/>
    </xf>
    <xf numFmtId="1" fontId="16" fillId="3" borderId="26" xfId="0" applyNumberFormat="1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2" fillId="3" borderId="44" xfId="0" applyFont="1" applyFill="1" applyBorder="1" applyAlignment="1" applyProtection="1">
      <alignment horizontal="left" vertical="center"/>
      <protection hidden="1"/>
    </xf>
    <xf numFmtId="2" fontId="2" fillId="3" borderId="0" xfId="0" applyNumberFormat="1" applyFont="1" applyFill="1" applyBorder="1" applyAlignment="1" applyProtection="1">
      <alignment horizontal="left" vertical="center"/>
      <protection hidden="1"/>
    </xf>
    <xf numFmtId="2" fontId="2" fillId="3" borderId="44" xfId="0" applyNumberFormat="1" applyFont="1" applyFill="1" applyBorder="1" applyAlignment="1" applyProtection="1">
      <alignment horizontal="left" vertical="center"/>
      <protection hidden="1"/>
    </xf>
    <xf numFmtId="1" fontId="10" fillId="2" borderId="71" xfId="0" applyNumberFormat="1" applyFont="1" applyFill="1" applyBorder="1" applyAlignment="1" applyProtection="1">
      <alignment horizontal="center" vertical="center"/>
      <protection locked="0"/>
    </xf>
    <xf numFmtId="1" fontId="10" fillId="2" borderId="10" xfId="0" applyNumberFormat="1" applyFont="1" applyFill="1" applyBorder="1" applyAlignment="1" applyProtection="1">
      <alignment horizontal="center" vertical="center"/>
      <protection locked="0"/>
    </xf>
    <xf numFmtId="1" fontId="10" fillId="2" borderId="26" xfId="0" applyNumberFormat="1" applyFont="1" applyFill="1" applyBorder="1" applyAlignment="1" applyProtection="1">
      <alignment horizontal="center" vertical="center"/>
      <protection locked="0"/>
    </xf>
    <xf numFmtId="1" fontId="13" fillId="3" borderId="72" xfId="0" applyNumberFormat="1" applyFont="1" applyFill="1" applyBorder="1" applyAlignment="1" applyProtection="1">
      <alignment horizontal="center" vertical="center"/>
      <protection hidden="1"/>
    </xf>
    <xf numFmtId="1" fontId="13" fillId="3" borderId="7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Variação de ruído - Posto Fixo</a:t>
            </a:r>
          </a:p>
        </c:rich>
      </c:tx>
      <c:layout>
        <c:manualLayout>
          <c:xMode val="edge"/>
          <c:yMode val="edge"/>
          <c:x val="0.28466123150535383"/>
          <c:y val="3.03687635574837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911533104508194"/>
          <c:y val="0.2646420824295011"/>
          <c:w val="0.61799499042881134"/>
          <c:h val="0.64859002169197488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'Posto Fixo'!$C$10:$J$10</c:f>
              <c:strCache>
                <c:ptCount val="8"/>
                <c:pt idx="0">
                  <c:v>R 1</c:v>
                </c:pt>
                <c:pt idx="1">
                  <c:v>R 2</c:v>
                </c:pt>
                <c:pt idx="2">
                  <c:v>R 3</c:v>
                </c:pt>
                <c:pt idx="3">
                  <c:v>R 4</c:v>
                </c:pt>
                <c:pt idx="4">
                  <c:v>R 5</c:v>
                </c:pt>
                <c:pt idx="5">
                  <c:v>R 6</c:v>
                </c:pt>
                <c:pt idx="6">
                  <c:v>R 7</c:v>
                </c:pt>
                <c:pt idx="7">
                  <c:v>R 8</c:v>
                </c:pt>
              </c:strCache>
            </c:strRef>
          </c:cat>
          <c:val>
            <c:numRef>
              <c:f>'Posto Fixo'!$C$11:$J$11</c:f>
              <c:numCache>
                <c:formatCode>0</c:formatCode>
                <c:ptCount val="8"/>
                <c:pt idx="0">
                  <c:v>84</c:v>
                </c:pt>
                <c:pt idx="1">
                  <c:v>85</c:v>
                </c:pt>
                <c:pt idx="2">
                  <c:v>84</c:v>
                </c:pt>
                <c:pt idx="3">
                  <c:v>85</c:v>
                </c:pt>
                <c:pt idx="4">
                  <c:v>84</c:v>
                </c:pt>
                <c:pt idx="5">
                  <c:v>85</c:v>
                </c:pt>
                <c:pt idx="6">
                  <c:v>84</c:v>
                </c:pt>
                <c:pt idx="7">
                  <c:v>85</c:v>
                </c:pt>
              </c:numCache>
            </c:numRef>
          </c:val>
        </c:ser>
        <c:marker val="1"/>
        <c:axId val="61063552"/>
        <c:axId val="61305984"/>
      </c:lineChart>
      <c:catAx>
        <c:axId val="610635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05984"/>
        <c:crossesAt val="70"/>
        <c:auto val="1"/>
        <c:lblAlgn val="ctr"/>
        <c:lblOffset val="100"/>
        <c:tickLblSkip val="1"/>
        <c:tickMarkSkip val="1"/>
      </c:catAx>
      <c:valAx>
        <c:axId val="61305984"/>
        <c:scaling>
          <c:orientation val="minMax"/>
          <c:max val="115"/>
          <c:min val="70"/>
        </c:scaling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dB (a)</a:t>
                </a:r>
              </a:p>
            </c:rich>
          </c:tx>
          <c:layout>
            <c:manualLayout>
              <c:xMode val="edge"/>
              <c:yMode val="edge"/>
              <c:x val="0.12536888641132282"/>
              <c:y val="0.1670281995661609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63552"/>
        <c:crosses val="autoZero"/>
        <c:crossBetween val="between"/>
        <c:majorUnit val="5"/>
      </c:valAx>
      <c:spPr>
        <a:noFill/>
        <a:ln w="3175">
          <a:solidFill>
            <a:srgbClr val="FFFFFF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77" footer="0.49212598500000077"/>
    <c:pageSetup orientation="landscape" horizontalDpi="300" verticalDpi="30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Variação de ruído - Posto Variado</a:t>
            </a:r>
          </a:p>
        </c:rich>
      </c:tx>
      <c:layout>
        <c:manualLayout>
          <c:xMode val="edge"/>
          <c:yMode val="edge"/>
          <c:x val="0.37327237321141388"/>
          <c:y val="1.5521064301552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3179773275149521"/>
          <c:y val="0.19290486517035191"/>
          <c:w val="0.66052326427381103"/>
          <c:h val="0.72062162276280994"/>
        </c:manualLayout>
      </c:layout>
      <c:lineChart>
        <c:grouping val="standard"/>
        <c:ser>
          <c:idx val="0"/>
          <c:order val="0"/>
          <c:tx>
            <c:v>Posto de Trabalho 1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'Posto Variado'!$C$35:$J$35</c:f>
              <c:strCache>
                <c:ptCount val="8"/>
                <c:pt idx="0">
                  <c:v>R 1</c:v>
                </c:pt>
                <c:pt idx="1">
                  <c:v>R 2</c:v>
                </c:pt>
                <c:pt idx="2">
                  <c:v>R 3</c:v>
                </c:pt>
                <c:pt idx="3">
                  <c:v>R 4</c:v>
                </c:pt>
                <c:pt idx="4">
                  <c:v>R 5</c:v>
                </c:pt>
                <c:pt idx="5">
                  <c:v>R 6</c:v>
                </c:pt>
                <c:pt idx="6">
                  <c:v>R 7</c:v>
                </c:pt>
                <c:pt idx="7">
                  <c:v>R 8</c:v>
                </c:pt>
              </c:strCache>
            </c:strRef>
          </c:cat>
          <c:val>
            <c:numRef>
              <c:f>'Posto Variado'!$C$46:$J$46</c:f>
              <c:numCache>
                <c:formatCode>General</c:formatCode>
                <c:ptCount val="8"/>
                <c:pt idx="0">
                  <c:v>90</c:v>
                </c:pt>
                <c:pt idx="1">
                  <c:v>89</c:v>
                </c:pt>
                <c:pt idx="2">
                  <c:v>88</c:v>
                </c:pt>
                <c:pt idx="3">
                  <c:v>91</c:v>
                </c:pt>
                <c:pt idx="4">
                  <c:v>90</c:v>
                </c:pt>
                <c:pt idx="5">
                  <c:v>94</c:v>
                </c:pt>
                <c:pt idx="6">
                  <c:v>89</c:v>
                </c:pt>
                <c:pt idx="7">
                  <c:v>92</c:v>
                </c:pt>
              </c:numCache>
            </c:numRef>
          </c:val>
        </c:ser>
        <c:ser>
          <c:idx val="1"/>
          <c:order val="1"/>
          <c:tx>
            <c:v>Posto de Trabalho 2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'Posto Variado'!$C$35:$J$35</c:f>
              <c:strCache>
                <c:ptCount val="8"/>
                <c:pt idx="0">
                  <c:v>R 1</c:v>
                </c:pt>
                <c:pt idx="1">
                  <c:v>R 2</c:v>
                </c:pt>
                <c:pt idx="2">
                  <c:v>R 3</c:v>
                </c:pt>
                <c:pt idx="3">
                  <c:v>R 4</c:v>
                </c:pt>
                <c:pt idx="4">
                  <c:v>R 5</c:v>
                </c:pt>
                <c:pt idx="5">
                  <c:v>R 6</c:v>
                </c:pt>
                <c:pt idx="6">
                  <c:v>R 7</c:v>
                </c:pt>
                <c:pt idx="7">
                  <c:v>R 8</c:v>
                </c:pt>
              </c:strCache>
            </c:strRef>
          </c:cat>
          <c:val>
            <c:numRef>
              <c:f>'Posto Variado'!$C$47:$J$47</c:f>
              <c:numCache>
                <c:formatCode>General</c:formatCode>
                <c:ptCount val="8"/>
                <c:pt idx="0">
                  <c:v>90</c:v>
                </c:pt>
                <c:pt idx="1">
                  <c:v>91</c:v>
                </c:pt>
                <c:pt idx="2">
                  <c:v>89</c:v>
                </c:pt>
                <c:pt idx="3">
                  <c:v>90</c:v>
                </c:pt>
                <c:pt idx="4">
                  <c:v>91</c:v>
                </c:pt>
                <c:pt idx="5">
                  <c:v>89</c:v>
                </c:pt>
                <c:pt idx="6">
                  <c:v>90</c:v>
                </c:pt>
                <c:pt idx="7">
                  <c:v>90</c:v>
                </c:pt>
              </c:numCache>
            </c:numRef>
          </c:val>
        </c:ser>
        <c:ser>
          <c:idx val="2"/>
          <c:order val="2"/>
          <c:tx>
            <c:v>Posto de Trabalho 3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'Posto Variado'!$C$35:$J$35</c:f>
              <c:strCache>
                <c:ptCount val="8"/>
                <c:pt idx="0">
                  <c:v>R 1</c:v>
                </c:pt>
                <c:pt idx="1">
                  <c:v>R 2</c:v>
                </c:pt>
                <c:pt idx="2">
                  <c:v>R 3</c:v>
                </c:pt>
                <c:pt idx="3">
                  <c:v>R 4</c:v>
                </c:pt>
                <c:pt idx="4">
                  <c:v>R 5</c:v>
                </c:pt>
                <c:pt idx="5">
                  <c:v>R 6</c:v>
                </c:pt>
                <c:pt idx="6">
                  <c:v>R 7</c:v>
                </c:pt>
                <c:pt idx="7">
                  <c:v>R 8</c:v>
                </c:pt>
              </c:strCache>
            </c:strRef>
          </c:cat>
          <c:val>
            <c:numRef>
              <c:f>'Posto Variado'!$C$48:$J$48</c:f>
              <c:numCache>
                <c:formatCode>General</c:formatCode>
                <c:ptCount val="8"/>
                <c:pt idx="0">
                  <c:v>85</c:v>
                </c:pt>
                <c:pt idx="1">
                  <c:v>86</c:v>
                </c:pt>
                <c:pt idx="2">
                  <c:v>84</c:v>
                </c:pt>
                <c:pt idx="3">
                  <c:v>80</c:v>
                </c:pt>
                <c:pt idx="4">
                  <c:v>85</c:v>
                </c:pt>
                <c:pt idx="5">
                  <c:v>81</c:v>
                </c:pt>
                <c:pt idx="6">
                  <c:v>80</c:v>
                </c:pt>
                <c:pt idx="7">
                  <c:v>80</c:v>
                </c:pt>
              </c:numCache>
            </c:numRef>
          </c:val>
        </c:ser>
        <c:ser>
          <c:idx val="3"/>
          <c:order val="3"/>
          <c:tx>
            <c:v>Posto de Trabalho 4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'Posto Variado'!$C$35:$J$35</c:f>
              <c:strCache>
                <c:ptCount val="8"/>
                <c:pt idx="0">
                  <c:v>R 1</c:v>
                </c:pt>
                <c:pt idx="1">
                  <c:v>R 2</c:v>
                </c:pt>
                <c:pt idx="2">
                  <c:v>R 3</c:v>
                </c:pt>
                <c:pt idx="3">
                  <c:v>R 4</c:v>
                </c:pt>
                <c:pt idx="4">
                  <c:v>R 5</c:v>
                </c:pt>
                <c:pt idx="5">
                  <c:v>R 6</c:v>
                </c:pt>
                <c:pt idx="6">
                  <c:v>R 7</c:v>
                </c:pt>
                <c:pt idx="7">
                  <c:v>R 8</c:v>
                </c:pt>
              </c:strCache>
            </c:strRef>
          </c:cat>
          <c:val>
            <c:numRef>
              <c:f>'Posto Variado'!$C$49:$J$49</c:f>
              <c:numCache>
                <c:formatCode>General</c:formatCode>
                <c:ptCount val="8"/>
                <c:pt idx="0">
                  <c:v>79</c:v>
                </c:pt>
                <c:pt idx="1">
                  <c:v>78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81</c:v>
                </c:pt>
              </c:numCache>
            </c:numRef>
          </c:val>
        </c:ser>
        <c:ser>
          <c:idx val="4"/>
          <c:order val="4"/>
          <c:tx>
            <c:v>Posto de Trabalho 5</c:v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cat>
            <c:strRef>
              <c:f>'Posto Variado'!$C$35:$J$35</c:f>
              <c:strCache>
                <c:ptCount val="8"/>
                <c:pt idx="0">
                  <c:v>R 1</c:v>
                </c:pt>
                <c:pt idx="1">
                  <c:v>R 2</c:v>
                </c:pt>
                <c:pt idx="2">
                  <c:v>R 3</c:v>
                </c:pt>
                <c:pt idx="3">
                  <c:v>R 4</c:v>
                </c:pt>
                <c:pt idx="4">
                  <c:v>R 5</c:v>
                </c:pt>
                <c:pt idx="5">
                  <c:v>R 6</c:v>
                </c:pt>
                <c:pt idx="6">
                  <c:v>R 7</c:v>
                </c:pt>
                <c:pt idx="7">
                  <c:v>R 8</c:v>
                </c:pt>
              </c:strCache>
            </c:strRef>
          </c:cat>
          <c:val>
            <c:numRef>
              <c:f>'Posto Variado'!$C$50:$J$50</c:f>
              <c:numCache>
                <c:formatCode>General</c:formatCode>
                <c:ptCount val="8"/>
                <c:pt idx="0">
                  <c:v>80</c:v>
                </c:pt>
                <c:pt idx="1">
                  <c:v>85</c:v>
                </c:pt>
                <c:pt idx="2">
                  <c:v>89</c:v>
                </c:pt>
                <c:pt idx="3">
                  <c:v>89</c:v>
                </c:pt>
                <c:pt idx="4">
                  <c:v>85</c:v>
                </c:pt>
                <c:pt idx="5">
                  <c:v>90</c:v>
                </c:pt>
                <c:pt idx="6">
                  <c:v>90</c:v>
                </c:pt>
                <c:pt idx="7">
                  <c:v>85</c:v>
                </c:pt>
              </c:numCache>
            </c:numRef>
          </c:val>
        </c:ser>
        <c:marker val="1"/>
        <c:axId val="65766144"/>
        <c:axId val="65767680"/>
      </c:lineChart>
      <c:catAx>
        <c:axId val="657661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5767680"/>
        <c:crossesAt val="0"/>
        <c:auto val="1"/>
        <c:lblAlgn val="ctr"/>
        <c:lblOffset val="100"/>
        <c:tickLblSkip val="1"/>
        <c:tickMarkSkip val="1"/>
      </c:catAx>
      <c:valAx>
        <c:axId val="65767680"/>
        <c:scaling>
          <c:orientation val="minMax"/>
          <c:max val="115"/>
          <c:min val="70"/>
        </c:scaling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dB (a)</a:t>
                </a:r>
              </a:p>
            </c:rich>
          </c:tx>
          <c:layout>
            <c:manualLayout>
              <c:xMode val="edge"/>
              <c:yMode val="edge"/>
              <c:x val="0.27496208135273476"/>
              <c:y val="0.1175168624986179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5766144"/>
        <c:crosses val="autoZero"/>
        <c:crossBetween val="between"/>
        <c:majorUnit val="5"/>
        <c:minorUnit val="1"/>
      </c:valAx>
      <c:spPr>
        <a:noFill/>
        <a:ln w="3175">
          <a:solidFill>
            <a:srgbClr val="FFFFFF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5.0691244239631436E-2"/>
          <c:y val="0.27494480041436081"/>
          <c:w val="0.19662090625768527"/>
          <c:h val="0.6164086806222393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77" footer="0.49212598500000077"/>
    <c:pageSetup orientation="landscape" horizontalDpi="300" verticalDpi="30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25</xdr:col>
      <xdr:colOff>361950</xdr:colOff>
      <xdr:row>23</xdr:row>
      <xdr:rowOff>38100</xdr:rowOff>
    </xdr:to>
    <xdr:graphicFrame macro="">
      <xdr:nvGraphicFramePr>
        <xdr:cNvPr id="20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25</xdr:col>
      <xdr:colOff>104775</xdr:colOff>
      <xdr:row>30</xdr:row>
      <xdr:rowOff>85725</xdr:rowOff>
    </xdr:to>
    <xdr:graphicFrame macro="">
      <xdr:nvGraphicFramePr>
        <xdr:cNvPr id="30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3"/>
  <sheetViews>
    <sheetView zoomScale="72" workbookViewId="0">
      <selection activeCell="D7" sqref="D7"/>
    </sheetView>
  </sheetViews>
  <sheetFormatPr defaultRowHeight="12.75"/>
  <cols>
    <col min="1" max="1" width="24" style="27" customWidth="1"/>
    <col min="2" max="2" width="9.42578125" style="27" customWidth="1"/>
    <col min="3" max="10" width="6.42578125" style="27" customWidth="1"/>
    <col min="11" max="11" width="6.85546875" style="27" customWidth="1"/>
    <col min="12" max="12" width="7" style="27" customWidth="1"/>
    <col min="13" max="15" width="7.85546875" style="27" customWidth="1"/>
    <col min="16" max="16384" width="9.140625" style="27"/>
  </cols>
  <sheetData>
    <row r="1" spans="1:29" ht="25.5">
      <c r="A1" s="207" t="s">
        <v>33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 ht="15" customHeight="1">
      <c r="A2" s="208" t="s">
        <v>71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ht="1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17.25" customHeight="1">
      <c r="A4" s="19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ht="24" customHeight="1">
      <c r="A5" s="187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s="190" customFormat="1" ht="24" customHeight="1">
      <c r="A6" s="188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</row>
    <row r="7" spans="1:29" ht="15.75" customHeight="1">
      <c r="A7" s="191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 ht="18.75" customHeight="1" thickBot="1">
      <c r="A8" s="63" t="s">
        <v>75</v>
      </c>
      <c r="B8" s="63"/>
      <c r="C8" s="221" t="s">
        <v>17</v>
      </c>
      <c r="D8" s="221"/>
      <c r="E8" s="222"/>
      <c r="F8" s="218" t="s">
        <v>19</v>
      </c>
      <c r="G8" s="219"/>
      <c r="H8" s="219"/>
      <c r="I8" s="219"/>
      <c r="J8" s="220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 ht="18.75" customHeight="1" thickBot="1">
      <c r="A9" s="216" t="s">
        <v>27</v>
      </c>
      <c r="B9" s="217"/>
      <c r="C9" s="213" t="s">
        <v>34</v>
      </c>
      <c r="D9" s="214"/>
      <c r="E9" s="214"/>
      <c r="F9" s="214"/>
      <c r="G9" s="214"/>
      <c r="H9" s="214"/>
      <c r="I9" s="214"/>
      <c r="J9" s="214"/>
      <c r="K9" s="32" t="s">
        <v>16</v>
      </c>
      <c r="L9" s="32" t="s">
        <v>16</v>
      </c>
      <c r="M9" s="32" t="s">
        <v>32</v>
      </c>
      <c r="N9" s="33" t="s">
        <v>8</v>
      </c>
      <c r="O9" s="34" t="s">
        <v>9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ht="18.75" customHeight="1" thickBot="1">
      <c r="A10" s="195" t="s">
        <v>18</v>
      </c>
      <c r="B10" s="197">
        <v>480</v>
      </c>
      <c r="C10" s="35" t="s">
        <v>0</v>
      </c>
      <c r="D10" s="35" t="s">
        <v>1</v>
      </c>
      <c r="E10" s="35" t="s">
        <v>2</v>
      </c>
      <c r="F10" s="35" t="s">
        <v>3</v>
      </c>
      <c r="G10" s="36" t="s">
        <v>4</v>
      </c>
      <c r="H10" s="36" t="s">
        <v>5</v>
      </c>
      <c r="I10" s="36" t="s">
        <v>6</v>
      </c>
      <c r="J10" s="37" t="s">
        <v>7</v>
      </c>
      <c r="K10" s="38" t="s">
        <v>30</v>
      </c>
      <c r="L10" s="38" t="s">
        <v>31</v>
      </c>
      <c r="M10" s="38" t="s">
        <v>30</v>
      </c>
      <c r="N10" s="38" t="s">
        <v>31</v>
      </c>
      <c r="O10" s="39" t="s">
        <v>31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ht="18.75" customHeight="1" thickBot="1">
      <c r="A11" s="196"/>
      <c r="B11" s="198"/>
      <c r="C11" s="10">
        <v>84</v>
      </c>
      <c r="D11" s="11">
        <v>85</v>
      </c>
      <c r="E11" s="11">
        <v>84</v>
      </c>
      <c r="F11" s="11">
        <v>85</v>
      </c>
      <c r="G11" s="11">
        <v>84</v>
      </c>
      <c r="H11" s="11">
        <v>85</v>
      </c>
      <c r="I11" s="11">
        <v>84</v>
      </c>
      <c r="J11" s="12">
        <v>85</v>
      </c>
      <c r="K11" s="215">
        <f>K15</f>
        <v>0.93557168784029043</v>
      </c>
      <c r="L11" s="193">
        <f>L15</f>
        <v>0.89669421487603307</v>
      </c>
      <c r="M11" s="193">
        <f>M15</f>
        <v>84.519590145452327</v>
      </c>
      <c r="N11" s="193">
        <f>N15</f>
        <v>84.526443678680977</v>
      </c>
      <c r="O11" s="223">
        <f>O15</f>
        <v>84.526443678680977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ht="18.75" hidden="1" customHeight="1">
      <c r="A12" s="13"/>
      <c r="B12" s="22" t="s">
        <v>15</v>
      </c>
      <c r="C12" s="23">
        <f>IF(C11=85,480,IF(C11=86,420)+IF(C11=87,360)+IF(C11=88,300)+IF(C11=89,270)+IF(C11=90,240)+IF(C11=91,210)+IF(C11=92,180)+IF(C11=93,160)+IF(C11=94,135)+IF(C11=95,120)+IF(C11=96,105)+IF(C11=97,90)+IF(C11=98,75)+IF(C11=99,69)+IF(C11=100,60)+IF(C11=101,53)+IF(C11=102,45)+IF(C11=103,40)+IF(C11=104,35)+IF(C11=105,30)+IF(C11=106,25)+IF(C11=107,23)+IF(C11=108,20)+IF(C11=109,18)+IF(C11=110,15)+IF(C11=111,13)+IF(C11=112,10)+IF(C11=113,10)+IF(C11=114,8)+IF(C11=115,7)+IF(C11=70,3840)+IF(C11=71,3343)+IF(C11=72,2910)+IF(C11=73,2533)+IF(C11=74,2206)+IF(C11=75,1920)+IF(C11=76,1671)+IF(C11=77,1455)+IF(C11=78,1267)+IF(C11=79,1103)+IF(C11=80,960)+IF(C11=81,836)+IF(C11=82,728)+IF(C11=83,633)+IF(C11=84,551))</f>
        <v>551</v>
      </c>
      <c r="D12" s="23">
        <f t="shared" ref="D12:J12" si="0">IF(D11=85,480,IF(D11=86,420)+IF(D11=87,360)+IF(D11=88,300)+IF(D11=89,270)+IF(D11=90,240)+IF(D11=91,210)+IF(D11=92,180)+IF(D11=93,160)+IF(D11=94,135)+IF(D11=95,120)+IF(D11=96,105)+IF(D11=97,90)+IF(D11=98,75)+IF(D11=99,69)+IF(D11=100,60)+IF(D11=101,53)+IF(D11=102,45)+IF(D11=103,40)+IF(D11=104,35)+IF(D11=105,30)+IF(D11=106,25)+IF(D11=107,23)+IF(D11=108,20)+IF(D11=109,18)+IF(D11=110,15)+IF(D11=111,13)+IF(D11=112,10)+IF(D11=113,10)+IF(D11=114,8)+IF(D11=115,7)+IF(D11=70,3840)+IF(D11=71,3343)+IF(D11=72,2910)+IF(D11=73,2533)+IF(D11=74,2206)+IF(D11=75,1920)+IF(D11=76,1671)+IF(D11=77,1455)+IF(D11=78,1267)+IF(D11=79,1103)+IF(D11=80,960)+IF(D11=81,836)+IF(D11=82,728)+IF(D11=83,633)+IF(D11=84,551))</f>
        <v>480</v>
      </c>
      <c r="E12" s="23">
        <f t="shared" si="0"/>
        <v>551</v>
      </c>
      <c r="F12" s="23">
        <f t="shared" si="0"/>
        <v>480</v>
      </c>
      <c r="G12" s="23">
        <f t="shared" si="0"/>
        <v>551</v>
      </c>
      <c r="H12" s="23">
        <f t="shared" si="0"/>
        <v>480</v>
      </c>
      <c r="I12" s="23">
        <f t="shared" si="0"/>
        <v>551</v>
      </c>
      <c r="J12" s="40">
        <f t="shared" si="0"/>
        <v>480</v>
      </c>
      <c r="K12" s="193"/>
      <c r="L12" s="193"/>
      <c r="M12" s="193"/>
      <c r="N12" s="193"/>
      <c r="O12" s="223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ht="18.75" customHeight="1">
      <c r="A13" s="209" t="s">
        <v>24</v>
      </c>
      <c r="B13" s="210"/>
      <c r="C13" s="78">
        <f t="shared" ref="C13:J13" si="1">IF(C12&gt;480,480,C12)</f>
        <v>480</v>
      </c>
      <c r="D13" s="78">
        <f t="shared" si="1"/>
        <v>480</v>
      </c>
      <c r="E13" s="78">
        <f t="shared" si="1"/>
        <v>480</v>
      </c>
      <c r="F13" s="78">
        <f t="shared" si="1"/>
        <v>480</v>
      </c>
      <c r="G13" s="78">
        <f t="shared" si="1"/>
        <v>480</v>
      </c>
      <c r="H13" s="78">
        <f t="shared" si="1"/>
        <v>480</v>
      </c>
      <c r="I13" s="78">
        <f t="shared" si="1"/>
        <v>480</v>
      </c>
      <c r="J13" s="78">
        <f t="shared" si="1"/>
        <v>480</v>
      </c>
      <c r="K13" s="193"/>
      <c r="L13" s="193"/>
      <c r="M13" s="193"/>
      <c r="N13" s="193"/>
      <c r="O13" s="223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ht="18.75" customHeight="1" thickBot="1">
      <c r="A14" s="211" t="s">
        <v>23</v>
      </c>
      <c r="B14" s="212"/>
      <c r="C14" s="76">
        <f t="shared" ref="C14:J14" si="2">C15</f>
        <v>605</v>
      </c>
      <c r="D14" s="76">
        <f t="shared" si="2"/>
        <v>480</v>
      </c>
      <c r="E14" s="76">
        <f t="shared" si="2"/>
        <v>605</v>
      </c>
      <c r="F14" s="76">
        <f t="shared" si="2"/>
        <v>480</v>
      </c>
      <c r="G14" s="76">
        <f t="shared" si="2"/>
        <v>605</v>
      </c>
      <c r="H14" s="76">
        <f t="shared" si="2"/>
        <v>480</v>
      </c>
      <c r="I14" s="76">
        <f t="shared" si="2"/>
        <v>605</v>
      </c>
      <c r="J14" s="77">
        <f t="shared" si="2"/>
        <v>480</v>
      </c>
      <c r="K14" s="194"/>
      <c r="L14" s="194"/>
      <c r="M14" s="194"/>
      <c r="N14" s="194"/>
      <c r="O14" s="224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ht="18.75" hidden="1" customHeight="1" thickBot="1">
      <c r="A15" s="13"/>
      <c r="B15" s="14"/>
      <c r="C15" s="15">
        <f>IF(C11=85,480,IF(C11=86,381)+IF(C11=80,1524)+IF(C11=81,1210)+IF(C11=82,960)+IF(C11=83,762)+IF(C11=84,605)+IF(C11=87,302)+IF(C11=88,240)+IF(C11=89,191)+IF(C11=90,151.19)+IF(C11=91,120)+IF(C11=92,95.24)+IF(C11=93,75.59)+IF(C11=94,60)+IF(C11=95,47.62)+IF(C11=96,37.79)+IF(C11=97,30)+IF(C11=98,23.81)+IF(C11=99,18.89)+IF(C11=100,15)+IF(C11=101,11.9)+IF(C11=102,9.44)+IF(C11=103,7.5)+IF(C11=104,5.95)+IF(C11=105,4.72)+IF(C11=106,3.75)+IF(C11=107,2.97)+IF(C11=108,2.36)+IF(C11=109,1.87)+IF(C11=110,1.48)+IF(C11=111,1.18)+IF(C11=112,0.93)+IF(C11=113,0.74)+IF(C11=114,0.59)+IF(C11=115,0.46)+IF(C11=79,1920)+IF(C11=78,2419)+IF(C11=77,3048)+IF(C11=76,3840)+IF(C11=75,4838)+IF(C11=74,6096)+IF(C11=73,7680)+IF(C11=72,9676)+IF(C11=71,12191)+IF(C11=70,15360))</f>
        <v>605</v>
      </c>
      <c r="D15" s="15">
        <f t="shared" ref="D15:J15" si="3">IF(D11=85,480,IF(D11=86,381)+IF(D11=80,1524)+IF(D11=81,1210)+IF(D11=82,960)+IF(D11=83,762)+IF(D11=84,605)+IF(D11=87,302)+IF(D11=88,240)+IF(D11=89,191)+IF(D11=90,151.19)+IF(D11=91,120)+IF(D11=92,95.24)+IF(D11=93,75.59)+IF(D11=94,60)+IF(D11=95,47.62)+IF(D11=96,37.79)+IF(D11=97,30)+IF(D11=98,23.81)+IF(D11=99,18.89)+IF(D11=100,15)+IF(D11=101,11.9)+IF(D11=102,9.44)+IF(D11=103,7.5)+IF(D11=104,5.95)+IF(D11=105,4.72)+IF(D11=106,3.75)+IF(D11=107,2.97)+IF(D11=108,2.36)+IF(D11=109,1.87)+IF(D11=110,1.48)+IF(D11=111,1.18)+IF(D11=112,0.93)+IF(D11=113,0.74)+IF(D11=114,0.59)+IF(D11=115,0.46)+IF(D11=79,1920)+IF(D11=78,2419)+IF(D11=77,3048)+IF(D11=76,3840)+IF(D11=75,4838)+IF(D11=74,6096)+IF(D11=73,7680)+IF(D11=72,9676)+IF(D11=71,12191)+IF(D11=70,15360))</f>
        <v>480</v>
      </c>
      <c r="E15" s="15">
        <f t="shared" si="3"/>
        <v>605</v>
      </c>
      <c r="F15" s="15">
        <f t="shared" si="3"/>
        <v>480</v>
      </c>
      <c r="G15" s="15">
        <f t="shared" si="3"/>
        <v>605</v>
      </c>
      <c r="H15" s="15">
        <f t="shared" si="3"/>
        <v>480</v>
      </c>
      <c r="I15" s="15">
        <f t="shared" si="3"/>
        <v>605</v>
      </c>
      <c r="J15" s="15">
        <f t="shared" si="3"/>
        <v>480</v>
      </c>
      <c r="K15" s="16">
        <f>(60/C12)+(60/D12)+(60/E12)+(60/F12)+(60/G12)+(60/H12)+(60/I12)+(60/J12)</f>
        <v>0.93557168784029043</v>
      </c>
      <c r="L15" s="6">
        <f>(60/C15)+(60/D15)+(60/E15)+(60/F15)+(60/G15)+(60/H15)+(60/I15)+(60/J15)</f>
        <v>0.89669421487603307</v>
      </c>
      <c r="M15" s="16">
        <f>16.61*(LOG((K11*100)/100)*(8/(B10/60)))+85</f>
        <v>84.519590145452327</v>
      </c>
      <c r="N15" s="16">
        <f>10*LOG((480/B10)*((L11*100)/100))+85</f>
        <v>84.526443678680977</v>
      </c>
      <c r="O15" s="17">
        <f>N11+(10*(LOG(B10/480)))</f>
        <v>84.526443678680977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ht="18.75" customHeight="1">
      <c r="A16" s="41" t="s">
        <v>25</v>
      </c>
      <c r="B16" s="42" t="str">
        <f>B18</f>
        <v>O agente ruído está em conformidade com a NR 15, anexo  01 da portaria 3214/78.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44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ht="18.75" customHeight="1" thickBot="1">
      <c r="A17" s="45"/>
      <c r="B17" s="46" t="str">
        <f>B19</f>
        <v>A dose está acima do nível de ação, segundo a NR 9.3.6.2 alínea (b) da portaria 3214/78.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  <c r="O17" s="4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s="51" customFormat="1" ht="17.25" hidden="1" customHeight="1">
      <c r="A18" s="49"/>
      <c r="B18" s="199" t="str">
        <f>IF(K11&lt;1.01,"O agente ruído está em conformidade com a NR 15, anexo  01 da portaria 3214/78.","O agente ruído está em desconformidade com a NR 15, anexo 01 da portaria 3214/78.")</f>
        <v>O agente ruído está em conformidade com a NR 15, anexo  01 da portaria 3214/78.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50"/>
      <c r="O18" s="50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</row>
    <row r="19" spans="1:29" s="51" customFormat="1" ht="17.25" hidden="1" customHeight="1">
      <c r="A19" s="49"/>
      <c r="B19" s="199" t="str">
        <f>IF(K11&gt;0.5,"A dose está acima do nível de ação, segundo a NR 9.3.6.2 alínea (b) da portaria 3214/78.","E a dose está abaixo do nível de ação, segundo a NR 9.3.6.2 alínea (b) da portaria 3214/78.")</f>
        <v>A dose está acima do nível de ação, segundo a NR 9.3.6.2 alínea (b) da portaria 3214/78.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</row>
    <row r="20" spans="1:29" s="28" customFormat="1" ht="17.25" customHeight="1">
      <c r="A20" s="25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13.5" customHeight="1">
      <c r="A21" s="18"/>
      <c r="B21" s="18"/>
      <c r="C21" s="52"/>
      <c r="D21" s="52"/>
      <c r="E21" s="52"/>
      <c r="F21" s="52"/>
      <c r="G21" s="52"/>
      <c r="H21" s="52"/>
      <c r="I21" s="52"/>
      <c r="J21" s="52"/>
      <c r="K21" s="52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>
      <c r="A22" s="18"/>
      <c r="B22" s="18"/>
      <c r="C22" s="18"/>
      <c r="D22" s="52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>
      <c r="A23" s="18"/>
      <c r="B23" s="18"/>
      <c r="C23" s="18"/>
      <c r="D23" s="52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>
      <c r="A24" s="18"/>
      <c r="B24" s="18"/>
      <c r="C24" s="18"/>
      <c r="D24" s="52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>
      <c r="A25" s="18"/>
      <c r="B25" s="18"/>
      <c r="C25" s="18"/>
      <c r="D25" s="52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>
      <c r="A26" s="18"/>
      <c r="B26" s="18"/>
      <c r="C26" s="18"/>
      <c r="D26" s="52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>
      <c r="A27" s="18"/>
      <c r="B27" s="18"/>
      <c r="C27" s="18"/>
      <c r="D27" s="52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>
      <c r="A28" s="18"/>
      <c r="B28" s="18"/>
      <c r="C28" s="18"/>
      <c r="D28" s="52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>
      <c r="A29" s="18"/>
      <c r="B29" s="18"/>
      <c r="C29" s="18"/>
      <c r="D29" s="52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>
      <c r="A30" s="18"/>
      <c r="B30" s="18"/>
      <c r="C30" s="18"/>
      <c r="D30" s="52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29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8" spans="1:29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24"/>
      <c r="L48" s="24"/>
      <c r="M48" s="24"/>
      <c r="N48" s="24"/>
      <c r="O48" s="24"/>
      <c r="P48" s="18"/>
    </row>
    <row r="49" spans="1:16" ht="12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24"/>
      <c r="L49" s="24"/>
      <c r="M49" s="24"/>
      <c r="N49" s="24"/>
      <c r="O49" s="24"/>
      <c r="P49" s="18"/>
    </row>
    <row r="50" spans="1:16" s="28" customFormat="1" ht="12" hidden="1" customHeight="1">
      <c r="B50" s="200" t="str">
        <f>IF('Posto Variado'!K41&lt;1.01,"O agente ruído está em conformidade com a NR 15, anexo  01 da portaria 3214/78.","O agente ruído está em desconformidade com a NR 15, anexo 01 da portaria 3214/78.")</f>
        <v>O agente ruído está em desconformidade com a NR 15, anexo 01 da portaria 3214/78.</v>
      </c>
      <c r="C50" s="201"/>
      <c r="D50" s="201"/>
      <c r="E50" s="201"/>
      <c r="F50" s="201"/>
      <c r="G50" s="201"/>
      <c r="H50" s="201"/>
      <c r="I50" s="201"/>
      <c r="J50" s="201"/>
      <c r="K50" s="202"/>
      <c r="L50" s="202"/>
      <c r="M50" s="203"/>
    </row>
    <row r="51" spans="1:16" s="28" customFormat="1" ht="12" hidden="1" customHeight="1" thickBot="1">
      <c r="B51" s="204" t="str">
        <f>IF('Posto Variado'!K41&gt;0.5,"A dose está acima do nível de ação segundo a NR 9.3.6.2 alínea(b) da portaria 3214/78.","E a dose, abaixo do nível de ação segundo a NR 9.3.6.2 alínea(b) da portaria 3214/78.")</f>
        <v>A dose está acima do nível de ação segundo a NR 9.3.6.2 alínea(b) da portaria 3214/78.</v>
      </c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6"/>
    </row>
    <row r="52" spans="1:16" ht="12" customHeight="1"/>
    <row r="53" spans="1:16" ht="12" customHeight="1"/>
  </sheetData>
  <sheetProtection password="E625" sheet="1" objects="1" scenarios="1"/>
  <mergeCells count="19">
    <mergeCell ref="B50:M50"/>
    <mergeCell ref="B51:M51"/>
    <mergeCell ref="A1:O1"/>
    <mergeCell ref="A2:O2"/>
    <mergeCell ref="A13:B13"/>
    <mergeCell ref="A14:B14"/>
    <mergeCell ref="C9:J9"/>
    <mergeCell ref="K11:K14"/>
    <mergeCell ref="A9:B9"/>
    <mergeCell ref="F8:J8"/>
    <mergeCell ref="C8:E8"/>
    <mergeCell ref="N11:N14"/>
    <mergeCell ref="O11:O14"/>
    <mergeCell ref="L11:L14"/>
    <mergeCell ref="M11:M14"/>
    <mergeCell ref="A10:A11"/>
    <mergeCell ref="B10:B11"/>
    <mergeCell ref="B18:M18"/>
    <mergeCell ref="B19:M19"/>
  </mergeCells>
  <phoneticPr fontId="0" type="noConversion"/>
  <pageMargins left="0.78740157480314965" right="0.78740157480314965" top="0.78740157480314965" bottom="0.78740157480314965" header="0.51181102362204722" footer="0.51181102362204722"/>
  <pageSetup orientation="landscape" horizontalDpi="300" verticalDpi="300" copies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50"/>
  <sheetViews>
    <sheetView tabSelected="1" view="pageLayout" zoomScaleNormal="72" workbookViewId="0">
      <selection activeCell="B7" sqref="B7:B8"/>
    </sheetView>
  </sheetViews>
  <sheetFormatPr defaultRowHeight="12.75"/>
  <cols>
    <col min="1" max="1" width="24" style="64" customWidth="1"/>
    <col min="2" max="2" width="9.42578125" style="64" customWidth="1"/>
    <col min="3" max="10" width="6.42578125" style="64" customWidth="1"/>
    <col min="11" max="12" width="6.85546875" style="64" customWidth="1"/>
    <col min="13" max="15" width="7.85546875" style="64" customWidth="1"/>
    <col min="16" max="16384" width="9.140625" style="64"/>
  </cols>
  <sheetData>
    <row r="1" spans="1:29" ht="25.5">
      <c r="A1" s="207" t="s">
        <v>33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s="65" customFormat="1" ht="15" customHeight="1">
      <c r="A2" s="208" t="s">
        <v>70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</row>
    <row r="3" spans="1:29" s="65" customFormat="1" ht="1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</row>
    <row r="4" spans="1:29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s="27" customFormat="1" ht="21" customHeight="1" thickBot="1">
      <c r="A5" s="63"/>
      <c r="B5" s="63"/>
      <c r="C5" s="30" t="s">
        <v>17</v>
      </c>
      <c r="D5" s="30" t="s">
        <v>35</v>
      </c>
      <c r="E5" s="31"/>
      <c r="F5" s="218" t="s">
        <v>76</v>
      </c>
      <c r="G5" s="219"/>
      <c r="H5" s="219"/>
      <c r="I5" s="219"/>
      <c r="J5" s="220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s="27" customFormat="1" ht="13.5" customHeight="1" thickBot="1">
      <c r="A6" s="239" t="s">
        <v>77</v>
      </c>
      <c r="B6" s="240"/>
      <c r="C6" s="213" t="s">
        <v>34</v>
      </c>
      <c r="D6" s="236"/>
      <c r="E6" s="236"/>
      <c r="F6" s="236"/>
      <c r="G6" s="236"/>
      <c r="H6" s="236"/>
      <c r="I6" s="236"/>
      <c r="J6" s="236"/>
      <c r="K6" s="71" t="s">
        <v>16</v>
      </c>
      <c r="L6" s="53" t="s">
        <v>16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27" customFormat="1" ht="14.25" customHeight="1" thickBot="1">
      <c r="A7" s="237" t="s">
        <v>28</v>
      </c>
      <c r="B7" s="197">
        <v>60</v>
      </c>
      <c r="C7" s="35" t="s">
        <v>0</v>
      </c>
      <c r="D7" s="35" t="s">
        <v>1</v>
      </c>
      <c r="E7" s="35" t="s">
        <v>2</v>
      </c>
      <c r="F7" s="35" t="s">
        <v>3</v>
      </c>
      <c r="G7" s="36" t="s">
        <v>4</v>
      </c>
      <c r="H7" s="36" t="s">
        <v>5</v>
      </c>
      <c r="I7" s="36" t="s">
        <v>6</v>
      </c>
      <c r="J7" s="37" t="s">
        <v>7</v>
      </c>
      <c r="K7" s="72" t="s">
        <v>30</v>
      </c>
      <c r="L7" s="39" t="s">
        <v>31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 s="27" customFormat="1" ht="12.75" customHeight="1" thickBot="1">
      <c r="A8" s="238"/>
      <c r="B8" s="198"/>
      <c r="C8" s="7">
        <v>90</v>
      </c>
      <c r="D8" s="7">
        <v>89</v>
      </c>
      <c r="E8" s="7">
        <v>88</v>
      </c>
      <c r="F8" s="7">
        <v>91</v>
      </c>
      <c r="G8" s="7">
        <v>90</v>
      </c>
      <c r="H8" s="7">
        <v>94</v>
      </c>
      <c r="I8" s="7">
        <v>89</v>
      </c>
      <c r="J8" s="68">
        <v>92</v>
      </c>
      <c r="K8" s="241">
        <f>K12</f>
        <v>0.27599206349206351</v>
      </c>
      <c r="L8" s="244">
        <f>L12</f>
        <v>0.47524536735191797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 s="27" customFormat="1" ht="12.75" hidden="1" customHeight="1">
      <c r="A9" s="13"/>
      <c r="B9" s="22" t="s">
        <v>15</v>
      </c>
      <c r="C9" s="19">
        <f t="shared" ref="C9:J9" si="0">IF(C8=85,480,IF(C8=86,420)+IF(C8=87,360)+IF(C8=88,300)+IF(C8=89,270)+IF(C8=90,240)+IF(C8=91,210)+IF(C8=92,180)+IF(C8=93,160)+IF(C8=94,135)+IF(C8=95,120)+IF(C8=96,105)+IF(C8=97,90)+IF(C8=98,75)+IF(C8=99,69)+IF(C8=100,60)+IF(C8=101,53)+IF(C8=102,45)+IF(C8=103,40)+IF(C8=104,35)+IF(C8=105,30)+IF(C8=106,25)+IF(C8=107,23)+IF(C8=108,20)+IF(C8=109,18)+IF(C8=110,15)+IF(C8=111,13)+IF(C8=112,10)+IF(C8=113,10)+IF(C8=114,8)+IF(C8=115,7)+IF(C8=70,3840)+IF(C8=71,3343)+IF(C8=72,2910)+IF(C8=73,2533)+IF(C8=74,2206)+IF(C8=75,1920)+IF(C8=76,1671)+IF(C8=77,1455)+IF(C8=78,1267)+IF(C8=79,1103)+IF(C8=80,960)+IF(C8=81,836)+IF(C8=82,728)+IF(C8=83,633)+IF(C8=84,551))</f>
        <v>240</v>
      </c>
      <c r="D9" s="19">
        <f t="shared" si="0"/>
        <v>270</v>
      </c>
      <c r="E9" s="19">
        <f t="shared" si="0"/>
        <v>300</v>
      </c>
      <c r="F9" s="19">
        <f t="shared" si="0"/>
        <v>210</v>
      </c>
      <c r="G9" s="19">
        <f t="shared" si="0"/>
        <v>240</v>
      </c>
      <c r="H9" s="19">
        <f t="shared" si="0"/>
        <v>135</v>
      </c>
      <c r="I9" s="19">
        <f t="shared" si="0"/>
        <v>270</v>
      </c>
      <c r="J9" s="69">
        <f t="shared" si="0"/>
        <v>180</v>
      </c>
      <c r="K9" s="242"/>
      <c r="L9" s="245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s="27" customFormat="1" ht="14.1" customHeight="1">
      <c r="A10" s="209" t="s">
        <v>20</v>
      </c>
      <c r="B10" s="210"/>
      <c r="C10" s="78">
        <f t="shared" ref="C10:J10" si="1">IF(C9&gt;480,480,C9)</f>
        <v>240</v>
      </c>
      <c r="D10" s="78">
        <f t="shared" si="1"/>
        <v>270</v>
      </c>
      <c r="E10" s="78">
        <f t="shared" si="1"/>
        <v>300</v>
      </c>
      <c r="F10" s="78">
        <f t="shared" si="1"/>
        <v>210</v>
      </c>
      <c r="G10" s="78">
        <f t="shared" si="1"/>
        <v>240</v>
      </c>
      <c r="H10" s="78">
        <f t="shared" si="1"/>
        <v>135</v>
      </c>
      <c r="I10" s="78">
        <f t="shared" si="1"/>
        <v>270</v>
      </c>
      <c r="J10" s="79">
        <f t="shared" si="1"/>
        <v>180</v>
      </c>
      <c r="K10" s="242"/>
      <c r="L10" s="245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s="27" customFormat="1" ht="14.1" customHeight="1" thickBot="1">
      <c r="A11" s="211" t="s">
        <v>21</v>
      </c>
      <c r="B11" s="212"/>
      <c r="C11" s="76">
        <f t="shared" ref="C11:J11" si="2">C12</f>
        <v>151.19</v>
      </c>
      <c r="D11" s="76">
        <f t="shared" si="2"/>
        <v>191</v>
      </c>
      <c r="E11" s="76">
        <f t="shared" si="2"/>
        <v>240</v>
      </c>
      <c r="F11" s="76">
        <f t="shared" si="2"/>
        <v>120</v>
      </c>
      <c r="G11" s="76">
        <f t="shared" si="2"/>
        <v>151.19</v>
      </c>
      <c r="H11" s="76">
        <f t="shared" si="2"/>
        <v>60</v>
      </c>
      <c r="I11" s="76">
        <f t="shared" si="2"/>
        <v>191</v>
      </c>
      <c r="J11" s="77">
        <f t="shared" si="2"/>
        <v>95.24</v>
      </c>
      <c r="K11" s="243"/>
      <c r="L11" s="24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s="27" customFormat="1" ht="12.75" hidden="1" customHeight="1" thickBot="1">
      <c r="A12" s="13"/>
      <c r="B12" s="14"/>
      <c r="C12" s="15">
        <f>IF(C8=85,480,IF(C8=86,381)+IF(C8=80,1524)+IF(C8=81,1210)+IF(C8=82,960)+IF(C8=83,762)+IF(C8=84,605)+IF(C8=87,302)+IF(C8=88,240)+IF(C8=89,191)+IF(C8=90,151.19)+IF(C8=91,120)+IF(C8=92,95.24)+IF(C8=93,75.59)+IF(C8=94,60)+IF(C8=95,47.62)+IF(C8=96,37.79)+IF(C8=97,30)+IF(C8=98,23.81)+IF(C8=99,18.89)+IF(C8=100,15)+IF(C8=101,11.9)+IF(C8=102,9.44)+IF(C8=103,7.5)+IF(C8=104,5.95)+IF(C8=105,4.72)+IF(C8=106,3.75)+IF(C8=107,2.97)+IF(C8=108,2.36)+IF(C8=109,1.87)+IF(C8=110,1.48)+IF(C8=111,1.18)+IF(C8=112,0.93)+IF(C8=113,0.74)+IF(C8=114,0.59)+IF(C8=115,0.46)+IF(C8=79,1920)+IF(C8=78,2419)+IF(C8=77,3048)+IF(C8=76,3840)+IF(C8=75,4838)+IF(C8=74,6096)+IF(C8=73,7680)+IF(C8=72,9676)+IF(C8=71,12191)+IF(C8=70,15360))</f>
        <v>151.19</v>
      </c>
      <c r="D12" s="15">
        <f t="shared" ref="D12:J12" si="3">IF(D8=85,480,IF(D8=86,381)+IF(D8=80,1524)+IF(D8=81,1210)+IF(D8=82,960)+IF(D8=83,762)+IF(D8=84,605)+IF(D8=87,302)+IF(D8=88,240)+IF(D8=89,191)+IF(D8=90,151.19)+IF(D8=91,120)+IF(D8=92,95.24)+IF(D8=93,75.59)+IF(D8=94,60)+IF(D8=95,47.62)+IF(D8=96,37.79)+IF(D8=97,30)+IF(D8=98,23.81)+IF(D8=99,18.89)+IF(D8=100,15)+IF(D8=101,11.9)+IF(D8=102,9.44)+IF(D8=103,7.5)+IF(D8=104,5.95)+IF(D8=105,4.72)+IF(D8=106,3.75)+IF(D8=107,2.97)+IF(D8=108,2.36)+IF(D8=109,1.87)+IF(D8=110,1.48)+IF(D8=111,1.18)+IF(D8=112,0.93)+IF(D8=113,0.74)+IF(D8=114,0.59)+IF(D8=115,0.46)+IF(D8=79,1920)+IF(D8=78,2419)+IF(D8=77,3048)+IF(D8=76,3840)+IF(D8=75,4838)+IF(D8=74,6096)+IF(D8=73,7680)+IF(D8=72,9676)+IF(D8=71,12191)+IF(D8=70,15360))</f>
        <v>191</v>
      </c>
      <c r="E12" s="15">
        <f t="shared" si="3"/>
        <v>240</v>
      </c>
      <c r="F12" s="15">
        <f t="shared" si="3"/>
        <v>120</v>
      </c>
      <c r="G12" s="15">
        <f t="shared" si="3"/>
        <v>151.19</v>
      </c>
      <c r="H12" s="15">
        <f t="shared" si="3"/>
        <v>60</v>
      </c>
      <c r="I12" s="15">
        <f t="shared" si="3"/>
        <v>191</v>
      </c>
      <c r="J12" s="15">
        <f t="shared" si="3"/>
        <v>95.24</v>
      </c>
      <c r="K12" s="20">
        <f>((B7/8)/C9)+((B7/8)/D9)+((B7/8)/E9)+((B7/8)/F9)+((B7/8)/G9)+((B7/8)/H9)+((B7/8)/I9)+((B7/8)/J9)</f>
        <v>0.27599206349206351</v>
      </c>
      <c r="L12" s="20">
        <f>((B7/8)/C12)+((B7/8)/D12)+((B7/8)/E12)+((B7/8)/F12)+((B7/8)/G12)+((B7/8)/H12)+((B7/8)/I12)+((B7/8)/J12)</f>
        <v>0.47524536735191797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s="27" customFormat="1" ht="13.5" customHeight="1" thickBot="1">
      <c r="A13" s="239" t="s">
        <v>78</v>
      </c>
      <c r="B13" s="240"/>
      <c r="C13" s="213" t="s">
        <v>34</v>
      </c>
      <c r="D13" s="236"/>
      <c r="E13" s="236"/>
      <c r="F13" s="236"/>
      <c r="G13" s="236"/>
      <c r="H13" s="236"/>
      <c r="I13" s="236"/>
      <c r="J13" s="236"/>
      <c r="K13" s="71" t="s">
        <v>16</v>
      </c>
      <c r="L13" s="53" t="s">
        <v>16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s="27" customFormat="1" ht="14.25" customHeight="1" thickBot="1">
      <c r="A14" s="237" t="s">
        <v>28</v>
      </c>
      <c r="B14" s="197">
        <v>120</v>
      </c>
      <c r="C14" s="35" t="s">
        <v>0</v>
      </c>
      <c r="D14" s="35" t="s">
        <v>1</v>
      </c>
      <c r="E14" s="35" t="s">
        <v>2</v>
      </c>
      <c r="F14" s="35" t="s">
        <v>3</v>
      </c>
      <c r="G14" s="36" t="s">
        <v>4</v>
      </c>
      <c r="H14" s="36" t="s">
        <v>5</v>
      </c>
      <c r="I14" s="36" t="s">
        <v>6</v>
      </c>
      <c r="J14" s="37" t="s">
        <v>7</v>
      </c>
      <c r="K14" s="72" t="s">
        <v>30</v>
      </c>
      <c r="L14" s="39" t="s">
        <v>31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s="27" customFormat="1" ht="12.75" customHeight="1" thickBot="1">
      <c r="A15" s="238"/>
      <c r="B15" s="198"/>
      <c r="C15" s="7">
        <v>90</v>
      </c>
      <c r="D15" s="7">
        <v>91</v>
      </c>
      <c r="E15" s="7">
        <v>89</v>
      </c>
      <c r="F15" s="7">
        <v>90</v>
      </c>
      <c r="G15" s="7">
        <v>91</v>
      </c>
      <c r="H15" s="7">
        <v>89</v>
      </c>
      <c r="I15" s="7">
        <v>90</v>
      </c>
      <c r="J15" s="68">
        <v>90</v>
      </c>
      <c r="K15" s="241">
        <f>K19</f>
        <v>0.50396825396825395</v>
      </c>
      <c r="L15" s="244">
        <f>L19</f>
        <v>0.80391970645444921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s="27" customFormat="1" ht="12.75" hidden="1" customHeight="1">
      <c r="A16" s="13"/>
      <c r="B16" s="22" t="s">
        <v>15</v>
      </c>
      <c r="C16" s="19">
        <f t="shared" ref="C16:J16" si="4">IF(C15=85,480,IF(C15=86,420)+IF(C15=87,360)+IF(C15=88,300)+IF(C15=89,270)+IF(C15=90,240)+IF(C15=91,210)+IF(C15=92,180)+IF(C15=93,160)+IF(C15=94,135)+IF(C15=95,120)+IF(C15=96,105)+IF(C15=97,90)+IF(C15=98,75)+IF(C15=99,69)+IF(C15=100,60)+IF(C15=101,53)+IF(C15=102,45)+IF(C15=103,40)+IF(C15=104,35)+IF(C15=105,30)+IF(C15=106,25)+IF(C15=107,23)+IF(C15=108,20)+IF(C15=109,18)+IF(C15=110,15)+IF(C15=111,13)+IF(C15=112,10)+IF(C15=113,10)+IF(C15=114,8)+IF(C15=115,7)+IF(C15=70,3840)+IF(C15=71,3343)+IF(C15=72,2910)+IF(C15=73,2533)+IF(C15=74,2206)+IF(C15=75,1920)+IF(C15=76,1671)+IF(C15=77,1455)+IF(C15=78,1267)+IF(C15=79,1103)+IF(C15=80,960)+IF(C15=81,836)+IF(C15=82,728)+IF(C15=83,633)+IF(C15=84,551))</f>
        <v>240</v>
      </c>
      <c r="D16" s="19">
        <f t="shared" si="4"/>
        <v>210</v>
      </c>
      <c r="E16" s="19">
        <f t="shared" si="4"/>
        <v>270</v>
      </c>
      <c r="F16" s="19">
        <f t="shared" si="4"/>
        <v>240</v>
      </c>
      <c r="G16" s="19">
        <f t="shared" si="4"/>
        <v>210</v>
      </c>
      <c r="H16" s="19">
        <f t="shared" si="4"/>
        <v>270</v>
      </c>
      <c r="I16" s="19">
        <f t="shared" si="4"/>
        <v>240</v>
      </c>
      <c r="J16" s="69">
        <f t="shared" si="4"/>
        <v>240</v>
      </c>
      <c r="K16" s="242"/>
      <c r="L16" s="245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s="27" customFormat="1" ht="14.1" customHeight="1">
      <c r="A17" s="209" t="s">
        <v>20</v>
      </c>
      <c r="B17" s="210"/>
      <c r="C17" s="78">
        <f t="shared" ref="C17:J17" si="5">IF(C16&gt;480,480,C16)</f>
        <v>240</v>
      </c>
      <c r="D17" s="78">
        <f t="shared" si="5"/>
        <v>210</v>
      </c>
      <c r="E17" s="78">
        <f t="shared" si="5"/>
        <v>270</v>
      </c>
      <c r="F17" s="78">
        <f t="shared" si="5"/>
        <v>240</v>
      </c>
      <c r="G17" s="78">
        <f t="shared" si="5"/>
        <v>210</v>
      </c>
      <c r="H17" s="78">
        <f t="shared" si="5"/>
        <v>270</v>
      </c>
      <c r="I17" s="78">
        <f t="shared" si="5"/>
        <v>240</v>
      </c>
      <c r="J17" s="79">
        <f t="shared" si="5"/>
        <v>240</v>
      </c>
      <c r="K17" s="242"/>
      <c r="L17" s="245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s="27" customFormat="1" ht="14.1" customHeight="1" thickBot="1">
      <c r="A18" s="211" t="s">
        <v>21</v>
      </c>
      <c r="B18" s="212"/>
      <c r="C18" s="76">
        <f t="shared" ref="C18:J18" si="6">C19</f>
        <v>151.19</v>
      </c>
      <c r="D18" s="76">
        <f t="shared" si="6"/>
        <v>120</v>
      </c>
      <c r="E18" s="76">
        <f t="shared" si="6"/>
        <v>191</v>
      </c>
      <c r="F18" s="76">
        <f t="shared" si="6"/>
        <v>151.19</v>
      </c>
      <c r="G18" s="76">
        <f t="shared" si="6"/>
        <v>120</v>
      </c>
      <c r="H18" s="76">
        <f t="shared" si="6"/>
        <v>191</v>
      </c>
      <c r="I18" s="76">
        <f t="shared" si="6"/>
        <v>151.19</v>
      </c>
      <c r="J18" s="77">
        <f t="shared" si="6"/>
        <v>151.19</v>
      </c>
      <c r="K18" s="243"/>
      <c r="L18" s="24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s="27" customFormat="1" ht="12.75" hidden="1" customHeight="1" thickBot="1">
      <c r="A19" s="13"/>
      <c r="B19" s="14"/>
      <c r="C19" s="15">
        <f>IF(C15=85,480,IF(C15=86,381)+IF(C15=80,1524)+IF(C15=81,1210)+IF(C15=82,960)+IF(C15=83,762)+IF(C15=84,605)+IF(C15=87,302)+IF(C15=88,240)+IF(C15=89,191)+IF(C15=90,151.19)+IF(C15=91,120)+IF(C15=92,95.24)+IF(C15=93,75.59)+IF(C15=94,60)+IF(C15=95,47.62)+IF(C15=96,37.79)+IF(C15=97,30)+IF(C15=98,23.81)+IF(C15=99,18.89)+IF(C15=100,15)+IF(C15=101,11.9)+IF(C15=102,9.44)+IF(C15=103,7.5)+IF(C15=104,5.95)+IF(C15=105,4.72)+IF(C15=106,3.75)+IF(C15=107,2.97)+IF(C15=108,2.36)+IF(C15=109,1.87)+IF(C15=110,1.48)+IF(C15=111,1.18)+IF(C15=112,0.93)+IF(C15=113,0.74)+IF(C15=114,0.59)+IF(C15=115,0.46)+IF(C15=79,1920)+IF(C15=78,2419)+IF(C15=77,3048)+IF(C15=76,3840)+IF(C15=75,4838)+IF(C15=74,6096)+IF(C15=73,7680)+IF(C15=72,9676)+IF(C15=71,12191)+IF(C15=70,15360))</f>
        <v>151.19</v>
      </c>
      <c r="D19" s="15">
        <f t="shared" ref="D19:J19" si="7">IF(D15=85,480,IF(D15=86,381)+IF(D15=80,1524)+IF(D15=81,1210)+IF(D15=82,960)+IF(D15=83,762)+IF(D15=84,605)+IF(D15=87,302)+IF(D15=88,240)+IF(D15=89,191)+IF(D15=90,151.19)+IF(D15=91,120)+IF(D15=92,95.24)+IF(D15=93,75.59)+IF(D15=94,60)+IF(D15=95,47.62)+IF(D15=96,37.79)+IF(D15=97,30)+IF(D15=98,23.81)+IF(D15=99,18.89)+IF(D15=100,15)+IF(D15=101,11.9)+IF(D15=102,9.44)+IF(D15=103,7.5)+IF(D15=104,5.95)+IF(D15=105,4.72)+IF(D15=106,3.75)+IF(D15=107,2.97)+IF(D15=108,2.36)+IF(D15=109,1.87)+IF(D15=110,1.48)+IF(D15=111,1.18)+IF(D15=112,0.93)+IF(D15=113,0.74)+IF(D15=114,0.59)+IF(D15=115,0.46)+IF(D15=79,1920)+IF(D15=78,2419)+IF(D15=77,3048)+IF(D15=76,3840)+IF(D15=75,4838)+IF(D15=74,6096)+IF(D15=73,7680)+IF(D15=72,9676)+IF(D15=71,12191)+IF(D15=70,15360))</f>
        <v>120</v>
      </c>
      <c r="E19" s="15">
        <f t="shared" si="7"/>
        <v>191</v>
      </c>
      <c r="F19" s="15">
        <f t="shared" si="7"/>
        <v>151.19</v>
      </c>
      <c r="G19" s="15">
        <f t="shared" si="7"/>
        <v>120</v>
      </c>
      <c r="H19" s="15">
        <f t="shared" si="7"/>
        <v>191</v>
      </c>
      <c r="I19" s="15">
        <f t="shared" si="7"/>
        <v>151.19</v>
      </c>
      <c r="J19" s="15">
        <f t="shared" si="7"/>
        <v>151.19</v>
      </c>
      <c r="K19" s="20">
        <f>((B14/8)/C16)+((B14/8)/D16)+((B14/8)/E16)+((B14/8)/F16)+((B14/8)/G16)+((B14/8)/H16)+((B14/8)/I16)+((B14/8)/J16)</f>
        <v>0.50396825396825395</v>
      </c>
      <c r="L19" s="20">
        <f>((B14/8)/C19)+((B14/8)/D19)+((B14/8)/E19)+((B14/8)/F19)+((B14/8)/G19)+((B14/8)/H19)+((B14/8)/I19)+((B14/8)/J19)</f>
        <v>0.80391970645444921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s="27" customFormat="1" ht="13.5" customHeight="1" thickBot="1">
      <c r="A20" s="239" t="s">
        <v>79</v>
      </c>
      <c r="B20" s="240"/>
      <c r="C20" s="213" t="s">
        <v>34</v>
      </c>
      <c r="D20" s="236"/>
      <c r="E20" s="236"/>
      <c r="F20" s="236"/>
      <c r="G20" s="236"/>
      <c r="H20" s="236"/>
      <c r="I20" s="236"/>
      <c r="J20" s="236"/>
      <c r="K20" s="71" t="s">
        <v>16</v>
      </c>
      <c r="L20" s="53" t="s">
        <v>16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s="27" customFormat="1" ht="14.25" customHeight="1" thickBot="1">
      <c r="A21" s="237" t="s">
        <v>28</v>
      </c>
      <c r="B21" s="197">
        <v>120</v>
      </c>
      <c r="C21" s="35" t="s">
        <v>0</v>
      </c>
      <c r="D21" s="35" t="s">
        <v>1</v>
      </c>
      <c r="E21" s="35" t="s">
        <v>2</v>
      </c>
      <c r="F21" s="35" t="s">
        <v>3</v>
      </c>
      <c r="G21" s="36" t="s">
        <v>4</v>
      </c>
      <c r="H21" s="36" t="s">
        <v>5</v>
      </c>
      <c r="I21" s="36" t="s">
        <v>6</v>
      </c>
      <c r="J21" s="37" t="s">
        <v>7</v>
      </c>
      <c r="K21" s="72" t="s">
        <v>30</v>
      </c>
      <c r="L21" s="39" t="s">
        <v>31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s="27" customFormat="1" ht="12.75" customHeight="1" thickBot="1">
      <c r="A22" s="238"/>
      <c r="B22" s="198"/>
      <c r="C22" s="7">
        <v>85</v>
      </c>
      <c r="D22" s="7">
        <v>86</v>
      </c>
      <c r="E22" s="7">
        <v>84</v>
      </c>
      <c r="F22" s="7">
        <v>80</v>
      </c>
      <c r="G22" s="7">
        <v>85</v>
      </c>
      <c r="H22" s="7">
        <v>81</v>
      </c>
      <c r="I22" s="7">
        <v>80</v>
      </c>
      <c r="J22" s="68">
        <v>80</v>
      </c>
      <c r="K22" s="241">
        <f>K26</f>
        <v>0.1902550999363613</v>
      </c>
      <c r="L22" s="244">
        <f>L26</f>
        <v>0.16858772043990372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s="27" customFormat="1" ht="12.75" hidden="1" customHeight="1">
      <c r="A23" s="13"/>
      <c r="B23" s="22" t="s">
        <v>15</v>
      </c>
      <c r="C23" s="19">
        <f t="shared" ref="C23:J23" si="8">IF(C22=85,480,IF(C22=86,420)+IF(C22=87,360)+IF(C22=88,300)+IF(C22=89,270)+IF(C22=90,240)+IF(C22=91,210)+IF(C22=92,180)+IF(C22=93,160)+IF(C22=94,135)+IF(C22=95,120)+IF(C22=96,105)+IF(C22=97,90)+IF(C22=98,75)+IF(C22=99,69)+IF(C22=100,60)+IF(C22=101,53)+IF(C22=102,45)+IF(C22=103,40)+IF(C22=104,35)+IF(C22=105,30)+IF(C22=106,25)+IF(C22=107,23)+IF(C22=108,20)+IF(C22=109,18)+IF(C22=110,15)+IF(C22=111,13)+IF(C22=112,10)+IF(C22=113,10)+IF(C22=114,8)+IF(C22=115,7)+IF(C22=70,3840)+IF(C22=71,3343)+IF(C22=72,2910)+IF(C22=73,2533)+IF(C22=74,2206)+IF(C22=75,1920)+IF(C22=76,1671)+IF(C22=77,1455)+IF(C22=78,1267)+IF(C22=79,1103)+IF(C22=80,960)+IF(C22=81,836)+IF(C22=82,728)+IF(C22=83,633)+IF(C22=84,551))</f>
        <v>480</v>
      </c>
      <c r="D23" s="19">
        <f t="shared" si="8"/>
        <v>420</v>
      </c>
      <c r="E23" s="19">
        <f t="shared" si="8"/>
        <v>551</v>
      </c>
      <c r="F23" s="19">
        <f t="shared" si="8"/>
        <v>960</v>
      </c>
      <c r="G23" s="19">
        <f t="shared" si="8"/>
        <v>480</v>
      </c>
      <c r="H23" s="19">
        <f t="shared" si="8"/>
        <v>836</v>
      </c>
      <c r="I23" s="19">
        <f t="shared" si="8"/>
        <v>960</v>
      </c>
      <c r="J23" s="69">
        <f t="shared" si="8"/>
        <v>960</v>
      </c>
      <c r="K23" s="242"/>
      <c r="L23" s="245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s="27" customFormat="1" ht="14.1" customHeight="1">
      <c r="A24" s="209" t="s">
        <v>20</v>
      </c>
      <c r="B24" s="210"/>
      <c r="C24" s="78">
        <f t="shared" ref="C24:J24" si="9">IF(C23&gt;480,480,C23)</f>
        <v>480</v>
      </c>
      <c r="D24" s="78">
        <f t="shared" si="9"/>
        <v>420</v>
      </c>
      <c r="E24" s="78">
        <f t="shared" si="9"/>
        <v>480</v>
      </c>
      <c r="F24" s="78">
        <f t="shared" si="9"/>
        <v>480</v>
      </c>
      <c r="G24" s="78">
        <f t="shared" si="9"/>
        <v>480</v>
      </c>
      <c r="H24" s="78">
        <f t="shared" si="9"/>
        <v>480</v>
      </c>
      <c r="I24" s="78">
        <f t="shared" si="9"/>
        <v>480</v>
      </c>
      <c r="J24" s="79">
        <f t="shared" si="9"/>
        <v>480</v>
      </c>
      <c r="K24" s="242"/>
      <c r="L24" s="245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s="27" customFormat="1" ht="14.1" customHeight="1" thickBot="1">
      <c r="A25" s="211" t="s">
        <v>21</v>
      </c>
      <c r="B25" s="212"/>
      <c r="C25" s="76">
        <f t="shared" ref="C25:J25" si="10">C26</f>
        <v>480</v>
      </c>
      <c r="D25" s="76">
        <f t="shared" si="10"/>
        <v>381</v>
      </c>
      <c r="E25" s="76">
        <f t="shared" si="10"/>
        <v>605</v>
      </c>
      <c r="F25" s="76">
        <f t="shared" si="10"/>
        <v>1524</v>
      </c>
      <c r="G25" s="76">
        <f t="shared" si="10"/>
        <v>480</v>
      </c>
      <c r="H25" s="76">
        <f t="shared" si="10"/>
        <v>1210</v>
      </c>
      <c r="I25" s="76">
        <f t="shared" si="10"/>
        <v>1524</v>
      </c>
      <c r="J25" s="77">
        <f t="shared" si="10"/>
        <v>1524</v>
      </c>
      <c r="K25" s="243"/>
      <c r="L25" s="24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s="27" customFormat="1" ht="12.75" hidden="1" customHeight="1" thickBot="1">
      <c r="A26" s="13"/>
      <c r="B26" s="14"/>
      <c r="C26" s="15">
        <f>IF(C22=85,480,IF(C22=86,381)+IF(C22=80,1524)+IF(C22=81,1210)+IF(C22=82,960)+IF(C22=83,762)+IF(C22=84,605)+IF(C22=87,302)+IF(C22=88,240)+IF(C22=89,191)+IF(C22=90,151.19)+IF(C22=91,120)+IF(C22=92,95.24)+IF(C22=93,75.59)+IF(C22=94,60)+IF(C22=95,47.62)+IF(C22=96,37.79)+IF(C22=97,30)+IF(C22=98,23.81)+IF(C22=99,18.89)+IF(C22=100,15)+IF(C22=101,11.9)+IF(C22=102,9.44)+IF(C22=103,7.5)+IF(C22=104,5.95)+IF(C22=105,4.72)+IF(C22=106,3.75)+IF(C22=107,2.97)+IF(C22=108,2.36)+IF(C22=109,1.87)+IF(C22=110,1.48)+IF(C22=111,1.18)+IF(C22=112,0.93)+IF(C22=113,0.74)+IF(C22=114,0.59)+IF(C22=115,0.46)+IF(C22=79,1920)+IF(C22=78,2419)+IF(C22=77,3048)+IF(C22=76,3840)+IF(C22=75,4838)+IF(C22=74,6096)+IF(C22=73,7680)+IF(C22=72,9676)+IF(C22=71,12191)+IF(C22=70,15360))</f>
        <v>480</v>
      </c>
      <c r="D26" s="15">
        <f t="shared" ref="D26:J26" si="11">IF(D22=85,480,IF(D22=86,381)+IF(D22=80,1524)+IF(D22=81,1210)+IF(D22=82,960)+IF(D22=83,762)+IF(D22=84,605)+IF(D22=87,302)+IF(D22=88,240)+IF(D22=89,191)+IF(D22=90,151.19)+IF(D22=91,120)+IF(D22=92,95.24)+IF(D22=93,75.59)+IF(D22=94,60)+IF(D22=95,47.62)+IF(D22=96,37.79)+IF(D22=97,30)+IF(D22=98,23.81)+IF(D22=99,18.89)+IF(D22=100,15)+IF(D22=101,11.9)+IF(D22=102,9.44)+IF(D22=103,7.5)+IF(D22=104,5.95)+IF(D22=105,4.72)+IF(D22=106,3.75)+IF(D22=107,2.97)+IF(D22=108,2.36)+IF(D22=109,1.87)+IF(D22=110,1.48)+IF(D22=111,1.18)+IF(D22=112,0.93)+IF(D22=113,0.74)+IF(D22=114,0.59)+IF(D22=115,0.46)+IF(D22=79,1920)+IF(D22=78,2419)+IF(D22=77,3048)+IF(D22=76,3840)+IF(D22=75,4838)+IF(D22=74,6096)+IF(D22=73,7680)+IF(D22=72,9676)+IF(D22=71,12191)+IF(D22=70,15360))</f>
        <v>381</v>
      </c>
      <c r="E26" s="15">
        <f t="shared" si="11"/>
        <v>605</v>
      </c>
      <c r="F26" s="15">
        <f t="shared" si="11"/>
        <v>1524</v>
      </c>
      <c r="G26" s="15">
        <f t="shared" si="11"/>
        <v>480</v>
      </c>
      <c r="H26" s="15">
        <f t="shared" si="11"/>
        <v>1210</v>
      </c>
      <c r="I26" s="15">
        <f t="shared" si="11"/>
        <v>1524</v>
      </c>
      <c r="J26" s="15">
        <f t="shared" si="11"/>
        <v>1524</v>
      </c>
      <c r="K26" s="20">
        <f>((B21/8)/C23)+((B21/8)/D23)+((B21/8)/E23)+((B21/8)/F23)+((B21/8)/G23)+((B21/8)/H23)+((B21/8)/I23)+((B21/8)/J23)</f>
        <v>0.1902550999363613</v>
      </c>
      <c r="L26" s="20">
        <f>((B21/8)/C26)+((B21/8)/D26)+((B21/8)/E26)+((B21/8)/F26)+((B21/8)/G26)+((B21/8)/H26)+((B21/8)/I26)+((B21/8)/J26)</f>
        <v>0.16858772043990372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s="27" customFormat="1" ht="13.5" thickBot="1">
      <c r="A27" s="239" t="s">
        <v>80</v>
      </c>
      <c r="B27" s="240"/>
      <c r="C27" s="213" t="s">
        <v>34</v>
      </c>
      <c r="D27" s="236"/>
      <c r="E27" s="236"/>
      <c r="F27" s="236"/>
      <c r="G27" s="236"/>
      <c r="H27" s="236"/>
      <c r="I27" s="236"/>
      <c r="J27" s="236"/>
      <c r="K27" s="71" t="s">
        <v>16</v>
      </c>
      <c r="L27" s="53" t="s">
        <v>16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s="27" customFormat="1" ht="13.5" customHeight="1" thickBot="1">
      <c r="A28" s="237" t="s">
        <v>28</v>
      </c>
      <c r="B28" s="197">
        <v>120</v>
      </c>
      <c r="C28" s="35" t="s">
        <v>0</v>
      </c>
      <c r="D28" s="35" t="s">
        <v>1</v>
      </c>
      <c r="E28" s="35" t="s">
        <v>2</v>
      </c>
      <c r="F28" s="35" t="s">
        <v>3</v>
      </c>
      <c r="G28" s="36" t="s">
        <v>4</v>
      </c>
      <c r="H28" s="36" t="s">
        <v>5</v>
      </c>
      <c r="I28" s="36" t="s">
        <v>6</v>
      </c>
      <c r="J28" s="37" t="s">
        <v>7</v>
      </c>
      <c r="K28" s="72" t="s">
        <v>30</v>
      </c>
      <c r="L28" s="39" t="s">
        <v>31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s="27" customFormat="1" ht="12.75" customHeight="1" thickBot="1">
      <c r="A29" s="238"/>
      <c r="B29" s="198"/>
      <c r="C29" s="7">
        <v>79</v>
      </c>
      <c r="D29" s="7">
        <v>78</v>
      </c>
      <c r="E29" s="7">
        <v>80</v>
      </c>
      <c r="F29" s="7">
        <v>80</v>
      </c>
      <c r="G29" s="7">
        <v>80</v>
      </c>
      <c r="H29" s="7">
        <v>80</v>
      </c>
      <c r="I29" s="7">
        <v>80</v>
      </c>
      <c r="J29" s="68">
        <v>81</v>
      </c>
      <c r="K29" s="241">
        <f>K33</f>
        <v>0.12150584817694869</v>
      </c>
      <c r="L29" s="244">
        <f>L33</f>
        <v>7.5622702106794656E-2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 s="27" customFormat="1" ht="12.75" hidden="1" customHeight="1">
      <c r="A30" s="13"/>
      <c r="B30" s="22" t="s">
        <v>15</v>
      </c>
      <c r="C30" s="19">
        <f t="shared" ref="C30:J30" si="12">IF(C29=85,480,IF(C29=86,420)+IF(C29=87,360)+IF(C29=88,300)+IF(C29=89,270)+IF(C29=90,240)+IF(C29=91,210)+IF(C29=92,180)+IF(C29=93,160)+IF(C29=94,135)+IF(C29=95,120)+IF(C29=96,105)+IF(C29=97,90)+IF(C29=98,75)+IF(C29=99,69)+IF(C29=100,60)+IF(C29=101,53)+IF(C29=102,45)+IF(C29=103,40)+IF(C29=104,35)+IF(C29=105,30)+IF(C29=106,25)+IF(C29=107,23)+IF(C29=108,20)+IF(C29=109,18)+IF(C29=110,15)+IF(C29=111,13)+IF(C29=112,10)+IF(C29=113,10)+IF(C29=114,8)+IF(C29=115,7)+IF(C29=70,3840)+IF(C29=71,3343)+IF(C29=72,2910)+IF(C29=73,2533)+IF(C29=74,2206)+IF(C29=75,1920)+IF(C29=76,1671)+IF(C29=77,1455)+IF(C29=78,1267)+IF(C29=79,1103)+IF(C29=80,960)+IF(C29=81,836)+IF(C29=82,728)+IF(C29=83,633)+IF(C29=84,551))</f>
        <v>1103</v>
      </c>
      <c r="D30" s="19">
        <f t="shared" si="12"/>
        <v>1267</v>
      </c>
      <c r="E30" s="19">
        <f t="shared" si="12"/>
        <v>960</v>
      </c>
      <c r="F30" s="19">
        <f t="shared" si="12"/>
        <v>960</v>
      </c>
      <c r="G30" s="19">
        <f t="shared" si="12"/>
        <v>960</v>
      </c>
      <c r="H30" s="19">
        <f t="shared" si="12"/>
        <v>960</v>
      </c>
      <c r="I30" s="19">
        <f t="shared" si="12"/>
        <v>960</v>
      </c>
      <c r="J30" s="69">
        <f t="shared" si="12"/>
        <v>836</v>
      </c>
      <c r="K30" s="242"/>
      <c r="L30" s="245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s="27" customFormat="1" ht="14.1" customHeight="1">
      <c r="A31" s="209" t="s">
        <v>20</v>
      </c>
      <c r="B31" s="210"/>
      <c r="C31" s="78">
        <f t="shared" ref="C31:J31" si="13">IF(C30&gt;480,480,C30)</f>
        <v>480</v>
      </c>
      <c r="D31" s="78">
        <f t="shared" si="13"/>
        <v>480</v>
      </c>
      <c r="E31" s="78">
        <f t="shared" si="13"/>
        <v>480</v>
      </c>
      <c r="F31" s="78">
        <f t="shared" si="13"/>
        <v>480</v>
      </c>
      <c r="G31" s="78">
        <f t="shared" si="13"/>
        <v>480</v>
      </c>
      <c r="H31" s="78">
        <f t="shared" si="13"/>
        <v>480</v>
      </c>
      <c r="I31" s="78">
        <f t="shared" si="13"/>
        <v>480</v>
      </c>
      <c r="J31" s="79">
        <f t="shared" si="13"/>
        <v>480</v>
      </c>
      <c r="K31" s="242"/>
      <c r="L31" s="245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s="27" customFormat="1" ht="14.1" customHeight="1" thickBot="1">
      <c r="A32" s="258" t="s">
        <v>21</v>
      </c>
      <c r="B32" s="259"/>
      <c r="C32" s="76">
        <f t="shared" ref="C32:J32" si="14">C33</f>
        <v>1920</v>
      </c>
      <c r="D32" s="76">
        <f t="shared" si="14"/>
        <v>2419</v>
      </c>
      <c r="E32" s="76">
        <f t="shared" si="14"/>
        <v>1524</v>
      </c>
      <c r="F32" s="76">
        <f t="shared" si="14"/>
        <v>1524</v>
      </c>
      <c r="G32" s="76">
        <f t="shared" si="14"/>
        <v>1524</v>
      </c>
      <c r="H32" s="76">
        <f t="shared" si="14"/>
        <v>1524</v>
      </c>
      <c r="I32" s="76">
        <f t="shared" si="14"/>
        <v>1524</v>
      </c>
      <c r="J32" s="77">
        <f t="shared" si="14"/>
        <v>1210</v>
      </c>
      <c r="K32" s="243"/>
      <c r="L32" s="24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s="27" customFormat="1" ht="12.75" hidden="1" customHeight="1" thickBot="1">
      <c r="A33" s="13"/>
      <c r="B33" s="14"/>
      <c r="C33" s="15">
        <f>IF(C29=85,480,IF(C29=86,381)+IF(C29=80,1524)+IF(C29=81,1210)+IF(C29=82,960)+IF(C29=83,762)+IF(C29=84,605)+IF(C29=87,302)+IF(C29=88,240)+IF(C29=89,191)+IF(C29=90,151.19)+IF(C29=91,120)+IF(C29=92,95.24)+IF(C29=93,75.59)+IF(C29=94,60)+IF(C29=95,47.62)+IF(C29=96,37.79)+IF(C29=97,30)+IF(C29=98,23.81)+IF(C29=99,18.89)+IF(C29=100,15)+IF(C29=101,11.9)+IF(C29=102,9.44)+IF(C29=103,7.5)+IF(C29=104,5.95)+IF(C29=105,4.72)+IF(C29=106,3.75)+IF(C29=107,2.97)+IF(C29=108,2.36)+IF(C29=109,1.87)+IF(C29=110,1.48)+IF(C29=111,1.18)+IF(C29=112,0.93)+IF(C29=113,0.74)+IF(C29=114,0.59)+IF(C29=115,0.46)+IF(C29=79,1920)+IF(C29=78,2419)+IF(C29=77,3048)+IF(C29=76,3840)+IF(C29=75,4838)+IF(C29=74,6096)+IF(C29=73,7680)+IF(C29=72,9676)+IF(C29=71,12191)+IF(C29=70,15360))</f>
        <v>1920</v>
      </c>
      <c r="D33" s="15">
        <f t="shared" ref="D33:J33" si="15">IF(D29=85,480,IF(D29=86,381)+IF(D29=80,1524)+IF(D29=81,1210)+IF(D29=82,960)+IF(D29=83,762)+IF(D29=84,605)+IF(D29=87,302)+IF(D29=88,240)+IF(D29=89,191)+IF(D29=90,151.19)+IF(D29=91,120)+IF(D29=92,95.24)+IF(D29=93,75.59)+IF(D29=94,60)+IF(D29=95,47.62)+IF(D29=96,37.79)+IF(D29=97,30)+IF(D29=98,23.81)+IF(D29=99,18.89)+IF(D29=100,15)+IF(D29=101,11.9)+IF(D29=102,9.44)+IF(D29=103,7.5)+IF(D29=104,5.95)+IF(D29=105,4.72)+IF(D29=106,3.75)+IF(D29=107,2.97)+IF(D29=108,2.36)+IF(D29=109,1.87)+IF(D29=110,1.48)+IF(D29=111,1.18)+IF(D29=112,0.93)+IF(D29=113,0.74)+IF(D29=114,0.59)+IF(D29=115,0.46)+IF(D29=79,1920)+IF(D29=78,2419)+IF(D29=77,3048)+IF(D29=76,3840)+IF(D29=75,4838)+IF(D29=74,6096)+IF(D29=73,7680)+IF(D29=72,9676)+IF(D29=71,12191)+IF(D29=70,15360))</f>
        <v>2419</v>
      </c>
      <c r="E33" s="15">
        <f t="shared" si="15"/>
        <v>1524</v>
      </c>
      <c r="F33" s="15">
        <f t="shared" si="15"/>
        <v>1524</v>
      </c>
      <c r="G33" s="15">
        <f t="shared" si="15"/>
        <v>1524</v>
      </c>
      <c r="H33" s="15">
        <f t="shared" si="15"/>
        <v>1524</v>
      </c>
      <c r="I33" s="15">
        <f t="shared" si="15"/>
        <v>1524</v>
      </c>
      <c r="J33" s="15">
        <f t="shared" si="15"/>
        <v>1210</v>
      </c>
      <c r="K33" s="20">
        <f>((B28/8)/C30)+((B28/8)/D30)+((B28/8)/E30)+((B28/8)/F30)+((B28/8)/G30)+((B28/8)/H30)+((B28/8)/I30)+((B28/8)/J30)</f>
        <v>0.12150584817694869</v>
      </c>
      <c r="L33" s="20">
        <f>((B28/8)/C33)+((B28/8)/D33)+((B28/8)/E33)+((B28/8)/F33)+((B28/8)/G33)+((B28/8)/H33)+((B28/8)/I33)+((B28/8)/J33)</f>
        <v>7.5622702106794656E-2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s="27" customFormat="1" ht="13.5" thickBot="1">
      <c r="A34" s="239" t="s">
        <v>81</v>
      </c>
      <c r="B34" s="240"/>
      <c r="C34" s="256" t="s">
        <v>34</v>
      </c>
      <c r="D34" s="257"/>
      <c r="E34" s="257"/>
      <c r="F34" s="257"/>
      <c r="G34" s="257"/>
      <c r="H34" s="257"/>
      <c r="I34" s="257"/>
      <c r="J34" s="257"/>
      <c r="K34" s="73" t="s">
        <v>16</v>
      </c>
      <c r="L34" s="54" t="s">
        <v>16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s="26" customFormat="1" ht="13.5" customHeight="1">
      <c r="A35" s="237" t="s">
        <v>28</v>
      </c>
      <c r="B35" s="197">
        <v>60</v>
      </c>
      <c r="C35" s="55" t="s">
        <v>0</v>
      </c>
      <c r="D35" s="56" t="s">
        <v>1</v>
      </c>
      <c r="E35" s="56" t="s">
        <v>2</v>
      </c>
      <c r="F35" s="56" t="s">
        <v>3</v>
      </c>
      <c r="G35" s="56" t="s">
        <v>4</v>
      </c>
      <c r="H35" s="56" t="s">
        <v>5</v>
      </c>
      <c r="I35" s="56" t="s">
        <v>6</v>
      </c>
      <c r="J35" s="57" t="s">
        <v>7</v>
      </c>
      <c r="K35" s="72" t="s">
        <v>30</v>
      </c>
      <c r="L35" s="39" t="s">
        <v>31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s="26" customFormat="1" ht="12.75" customHeight="1" thickBot="1">
      <c r="A36" s="238"/>
      <c r="B36" s="198"/>
      <c r="C36" s="8">
        <v>80</v>
      </c>
      <c r="D36" s="9">
        <v>85</v>
      </c>
      <c r="E36" s="9">
        <v>89</v>
      </c>
      <c r="F36" s="9">
        <v>89</v>
      </c>
      <c r="G36" s="9">
        <v>85</v>
      </c>
      <c r="H36" s="9">
        <v>90</v>
      </c>
      <c r="I36" s="9">
        <v>90</v>
      </c>
      <c r="J36" s="70">
        <v>85</v>
      </c>
      <c r="K36" s="241">
        <f>K40</f>
        <v>0.17274305555555555</v>
      </c>
      <c r="L36" s="244">
        <f>L40</f>
        <v>0.22954320216293825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s="26" customFormat="1" ht="12.75" hidden="1" customHeight="1" thickBot="1">
      <c r="A37" s="13"/>
      <c r="B37" s="14" t="s">
        <v>15</v>
      </c>
      <c r="C37" s="23">
        <f t="shared" ref="C37:J37" si="16">IF(C36=85,480,IF(C36=86,420)+IF(C36=87,360)+IF(C36=88,300)+IF(C36=89,270)+IF(C36=90,240)+IF(C36=91,210)+IF(C36=92,180)+IF(C36=93,160)+IF(C36=94,135)+IF(C36=95,120)+IF(C36=96,105)+IF(C36=97,90)+IF(C36=98,75)+IF(C36=99,69)+IF(C36=100,60)+IF(C36=101,53)+IF(C36=102,45)+IF(C36=103,40)+IF(C36=104,35)+IF(C36=105,30)+IF(C36=106,25)+IF(C36=107,23)+IF(C36=108,20)+IF(C36=109,18)+IF(C36=110,15)+IF(C36=111,13)+IF(C36=112,10)+IF(C36=113,10)+IF(C36=114,8)+IF(C36=115,7)+IF(C36=70,3840)+IF(C36=71,3343)+IF(C36=72,2910)+IF(C36=73,2533)+IF(C36=74,2206)+IF(C36=75,1920)+IF(C36=76,1671)+IF(C36=77,1455)+IF(C36=78,1267)+IF(C36=79,1103)+IF(C36=80,960)+IF(C36=81,836)+IF(C36=82,728)+IF(C36=83,633)+IF(C36=84,551))</f>
        <v>960</v>
      </c>
      <c r="D37" s="23">
        <f t="shared" si="16"/>
        <v>480</v>
      </c>
      <c r="E37" s="23">
        <f t="shared" si="16"/>
        <v>270</v>
      </c>
      <c r="F37" s="23">
        <f t="shared" si="16"/>
        <v>270</v>
      </c>
      <c r="G37" s="23">
        <f t="shared" si="16"/>
        <v>480</v>
      </c>
      <c r="H37" s="23">
        <f t="shared" si="16"/>
        <v>240</v>
      </c>
      <c r="I37" s="23">
        <f t="shared" si="16"/>
        <v>240</v>
      </c>
      <c r="J37" s="40">
        <f t="shared" si="16"/>
        <v>480</v>
      </c>
      <c r="K37" s="242"/>
      <c r="L37" s="245"/>
      <c r="M37" s="14">
        <f>16.61*(LOG((K41*100)/100)*(8/(B41/60)))+85</f>
        <v>86.692668286228255</v>
      </c>
      <c r="N37" s="14">
        <f>10*LOG((480/B41)*((L41*100)/100))+85</f>
        <v>87.437617737066418</v>
      </c>
      <c r="O37" s="14">
        <f>N41+(10*(LOG(B41/480)))</f>
        <v>87.437617737066418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s="26" customFormat="1" ht="14.1" customHeight="1">
      <c r="A38" s="250" t="s">
        <v>20</v>
      </c>
      <c r="B38" s="251"/>
      <c r="C38" s="78">
        <f t="shared" ref="C38:J38" si="17">IF(C37&gt;480,480,C37)</f>
        <v>480</v>
      </c>
      <c r="D38" s="78">
        <f t="shared" si="17"/>
        <v>480</v>
      </c>
      <c r="E38" s="78">
        <f t="shared" si="17"/>
        <v>270</v>
      </c>
      <c r="F38" s="78">
        <f t="shared" si="17"/>
        <v>270</v>
      </c>
      <c r="G38" s="78">
        <f t="shared" si="17"/>
        <v>480</v>
      </c>
      <c r="H38" s="78">
        <f t="shared" si="17"/>
        <v>240</v>
      </c>
      <c r="I38" s="78">
        <f t="shared" si="17"/>
        <v>240</v>
      </c>
      <c r="J38" s="79">
        <f t="shared" si="17"/>
        <v>480</v>
      </c>
      <c r="K38" s="242"/>
      <c r="L38" s="245"/>
      <c r="M38" s="58" t="s">
        <v>32</v>
      </c>
      <c r="N38" s="59" t="s">
        <v>8</v>
      </c>
      <c r="O38" s="59" t="s">
        <v>9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s="26" customFormat="1" ht="14.1" customHeight="1" thickBot="1">
      <c r="A39" s="211" t="s">
        <v>21</v>
      </c>
      <c r="B39" s="212"/>
      <c r="C39" s="80">
        <f t="shared" ref="C39:J39" si="18">C40</f>
        <v>1524</v>
      </c>
      <c r="D39" s="178">
        <f t="shared" si="18"/>
        <v>480</v>
      </c>
      <c r="E39" s="76">
        <f t="shared" si="18"/>
        <v>191</v>
      </c>
      <c r="F39" s="76">
        <f t="shared" si="18"/>
        <v>191</v>
      </c>
      <c r="G39" s="76">
        <f t="shared" si="18"/>
        <v>480</v>
      </c>
      <c r="H39" s="76">
        <f t="shared" si="18"/>
        <v>151.19</v>
      </c>
      <c r="I39" s="76">
        <f t="shared" si="18"/>
        <v>151.19</v>
      </c>
      <c r="J39" s="77">
        <f t="shared" si="18"/>
        <v>480</v>
      </c>
      <c r="K39" s="243"/>
      <c r="L39" s="246"/>
      <c r="M39" s="60" t="s">
        <v>30</v>
      </c>
      <c r="N39" s="61" t="s">
        <v>31</v>
      </c>
      <c r="O39" s="61" t="s">
        <v>31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s="26" customFormat="1" ht="12.75" hidden="1" customHeight="1" thickBot="1">
      <c r="A40" s="14"/>
      <c r="B40" s="14"/>
      <c r="C40" s="15">
        <f>IF(C36=85,480,IF(C36=86,381)+IF(C36=80,1524)+IF(C36=81,1210)+IF(C36=82,960)+IF(C36=83,762)+IF(C36=84,605)+IF(C36=87,302)+IF(C36=88,240)+IF(C36=89,191)+IF(C36=90,151.19)+IF(C36=91,120)+IF(C36=92,95.24)+IF(C36=93,75.59)+IF(C36=94,60)+IF(C36=95,47.62)+IF(C36=96,37.79)+IF(C36=97,30)+IF(C36=98,23.81)+IF(C36=99,18.89)+IF(C36=100,15)+IF(C36=101,11.9)+IF(C36=102,9.44)+IF(C36=103,7.5)+IF(C36=104,5.95)+IF(C36=105,4.72)+IF(C36=106,3.75)+IF(C36=107,2.97)+IF(C36=108,2.36)+IF(C36=109,1.87)+IF(C36=110,1.48)+IF(C36=111,1.18)+IF(C36=112,0.93)+IF(C36=113,0.74)+IF(C36=114,0.59)+IF(C36=115,0.46)+IF(C36=79,1920)+IF(C36=78,2419)+IF(C36=77,3048)+IF(C36=76,3840)+IF(C36=75,4838)+IF(C36=74,6096)+IF(C36=73,7680)+IF(C36=72,9676)+IF(C36=71,12191)+IF(C36=70,15360))</f>
        <v>1524</v>
      </c>
      <c r="D40" s="15">
        <f t="shared" ref="D40:J40" si="19">IF(D36=85,480,IF(D36=86,381)+IF(D36=80,1524)+IF(D36=81,1210)+IF(D36=82,960)+IF(D36=83,762)+IF(D36=84,605)+IF(D36=87,302)+IF(D36=88,240)+IF(D36=89,191)+IF(D36=90,151.19)+IF(D36=91,120)+IF(D36=92,95.24)+IF(D36=93,75.59)+IF(D36=94,60)+IF(D36=95,47.62)+IF(D36=96,37.79)+IF(D36=97,30)+IF(D36=98,23.81)+IF(D36=99,18.89)+IF(D36=100,15)+IF(D36=101,11.9)+IF(D36=102,9.44)+IF(D36=103,7.5)+IF(D36=104,5.95)+IF(D36=105,4.72)+IF(D36=106,3.75)+IF(D36=107,2.97)+IF(D36=108,2.36)+IF(D36=109,1.87)+IF(D36=110,1.48)+IF(D36=111,1.18)+IF(D36=112,0.93)+IF(D36=113,0.74)+IF(D36=114,0.59)+IF(D36=115,0.46)+IF(D36=79,1920)+IF(D36=78,2419)+IF(D36=77,3048)+IF(D36=76,3840)+IF(D36=75,4838)+IF(D36=74,6096)+IF(D36=73,7680)+IF(D36=72,9676)+IF(D36=71,12191)+IF(D36=70,15360))</f>
        <v>480</v>
      </c>
      <c r="E40" s="15">
        <f t="shared" si="19"/>
        <v>191</v>
      </c>
      <c r="F40" s="15">
        <f t="shared" si="19"/>
        <v>191</v>
      </c>
      <c r="G40" s="15">
        <f t="shared" si="19"/>
        <v>480</v>
      </c>
      <c r="H40" s="15">
        <f t="shared" si="19"/>
        <v>151.19</v>
      </c>
      <c r="I40" s="15">
        <f t="shared" si="19"/>
        <v>151.19</v>
      </c>
      <c r="J40" s="15">
        <f t="shared" si="19"/>
        <v>480</v>
      </c>
      <c r="K40" s="24">
        <f>((B35/8)/C37)+((B35/8)/D37)+((B35/8)/E37)+((B35/8)/F37)+((B35/8)/G37)+((B35/8)/H37)+((B35/8)/I37)+((B35/8)/J37)</f>
        <v>0.17274305555555555</v>
      </c>
      <c r="L40" s="24">
        <f>((B35/8)/C40)+((B35/8)/D40)+((B35/8)/E40)+((B35/8)/F40)+((B35/8)/G40)+((B35/8)/H40)+((B35/8)/I40)+((B35/8)/J40)</f>
        <v>0.22954320216293825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s="26" customFormat="1" ht="13.5" customHeight="1">
      <c r="A41" s="176" t="s">
        <v>29</v>
      </c>
      <c r="B41" s="262">
        <f>B35+B28+B21+B14+B7</f>
        <v>480</v>
      </c>
      <c r="C41" s="184" t="s">
        <v>72</v>
      </c>
      <c r="D41" s="175"/>
      <c r="E41" s="175"/>
      <c r="F41" s="175"/>
      <c r="G41" s="175"/>
      <c r="H41" s="177"/>
      <c r="I41" s="226" t="s">
        <v>26</v>
      </c>
      <c r="J41" s="227"/>
      <c r="K41" s="232">
        <f>K36+K29+K22+K15+K8</f>
        <v>1.2644643211291831</v>
      </c>
      <c r="L41" s="235">
        <f>L36+L29+L22+L15+L8</f>
        <v>1.7529186985160037</v>
      </c>
      <c r="M41" s="235">
        <f>M37</f>
        <v>86.692668286228255</v>
      </c>
      <c r="N41" s="235">
        <f>N37</f>
        <v>87.437617737066418</v>
      </c>
      <c r="O41" s="225">
        <f>O37</f>
        <v>87.437617737066418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s="26" customFormat="1" ht="10.5" customHeight="1">
      <c r="A42" s="260" t="s">
        <v>36</v>
      </c>
      <c r="B42" s="263"/>
      <c r="C42" s="185" t="s">
        <v>73</v>
      </c>
      <c r="D42" s="14"/>
      <c r="E42" s="14"/>
      <c r="F42" s="14"/>
      <c r="G42" s="14"/>
      <c r="H42" s="14"/>
      <c r="I42" s="228"/>
      <c r="J42" s="229"/>
      <c r="K42" s="233"/>
      <c r="L42" s="193"/>
      <c r="M42" s="193"/>
      <c r="N42" s="193"/>
      <c r="O42" s="223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s="26" customFormat="1" ht="12.75" customHeight="1" thickBot="1">
      <c r="A43" s="261"/>
      <c r="B43" s="264"/>
      <c r="C43" s="186" t="s">
        <v>74</v>
      </c>
      <c r="D43" s="67"/>
      <c r="E43" s="67"/>
      <c r="F43" s="67"/>
      <c r="G43" s="67"/>
      <c r="H43" s="67"/>
      <c r="I43" s="230"/>
      <c r="J43" s="231"/>
      <c r="K43" s="234"/>
      <c r="L43" s="194"/>
      <c r="M43" s="194"/>
      <c r="N43" s="194"/>
      <c r="O43" s="22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s="26" customFormat="1" ht="18" customHeight="1">
      <c r="A44" s="62" t="s">
        <v>25</v>
      </c>
      <c r="B44" s="252" t="str">
        <f>'Posto Fixo'!B50</f>
        <v>O agente ruído está em desconformidade com a NR 15, anexo 01 da portaria 3214/78.</v>
      </c>
      <c r="C44" s="253"/>
      <c r="D44" s="253"/>
      <c r="E44" s="253"/>
      <c r="F44" s="253"/>
      <c r="G44" s="253"/>
      <c r="H44" s="253"/>
      <c r="I44" s="253"/>
      <c r="J44" s="253"/>
      <c r="K44" s="254"/>
      <c r="L44" s="254"/>
      <c r="M44" s="254"/>
      <c r="N44" s="254"/>
      <c r="O44" s="255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s="26" customFormat="1" ht="18" customHeight="1" thickBot="1">
      <c r="A45" s="45"/>
      <c r="B45" s="247" t="str">
        <f>'Posto Fixo'!B51</f>
        <v>A dose está acima do nível de ação segundo a NR 9.3.6.2 alínea(b) da portaria 3214/78.</v>
      </c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9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s="181" customFormat="1">
      <c r="A46" s="179"/>
      <c r="B46" s="179"/>
      <c r="C46" s="180">
        <f>IF(B7&gt;0,C8,0)</f>
        <v>90</v>
      </c>
      <c r="D46" s="180">
        <f>IF(B7&gt;0,D8,0)</f>
        <v>89</v>
      </c>
      <c r="E46" s="180">
        <f>IF(B7&gt;0,E8,0)</f>
        <v>88</v>
      </c>
      <c r="F46" s="180">
        <f>IF(B7&gt;0,F8,0)</f>
        <v>91</v>
      </c>
      <c r="G46" s="180">
        <f>IF(B7&gt;0,G8,0)</f>
        <v>90</v>
      </c>
      <c r="H46" s="180">
        <f>IF(B7&gt;0,H8,0)</f>
        <v>94</v>
      </c>
      <c r="I46" s="180">
        <f>IF(B7&gt;0,I8,0)</f>
        <v>89</v>
      </c>
      <c r="J46" s="180">
        <f>IF(B7&gt;0,J8,0)</f>
        <v>92</v>
      </c>
      <c r="K46" s="180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</row>
    <row r="47" spans="1:29" s="181" customFormat="1">
      <c r="A47" s="179"/>
      <c r="B47" s="179"/>
      <c r="C47" s="180">
        <f>IF(B14&gt;0,C15,0)</f>
        <v>90</v>
      </c>
      <c r="D47" s="180">
        <f>IF(B14&gt;0,D15,0)</f>
        <v>91</v>
      </c>
      <c r="E47" s="180">
        <f>IF(B14&gt;0,E15,0)</f>
        <v>89</v>
      </c>
      <c r="F47" s="180">
        <f>IF(B14&gt;0,F15,0)</f>
        <v>90</v>
      </c>
      <c r="G47" s="180">
        <f>IF(B14&gt;0,G15,0)</f>
        <v>91</v>
      </c>
      <c r="H47" s="180">
        <f>IF(B14&gt;0,H15,0)</f>
        <v>89</v>
      </c>
      <c r="I47" s="180">
        <f>IF(B14&gt;0,I15,0)</f>
        <v>90</v>
      </c>
      <c r="J47" s="180">
        <f>IF(B14&gt;0,J15,0)</f>
        <v>90</v>
      </c>
      <c r="K47" s="180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</row>
    <row r="48" spans="1:29" s="181" customFormat="1">
      <c r="A48" s="179"/>
      <c r="B48" s="179"/>
      <c r="C48" s="180">
        <f>IF(B21&gt;0,C22,0)</f>
        <v>85</v>
      </c>
      <c r="D48" s="180">
        <f>IF(B21&gt;0,D22,0)</f>
        <v>86</v>
      </c>
      <c r="E48" s="180">
        <f>IF(B21&gt;0,E22,0)</f>
        <v>84</v>
      </c>
      <c r="F48" s="180">
        <f>IF(B21&gt;0,F22,0)</f>
        <v>80</v>
      </c>
      <c r="G48" s="180">
        <f>IF(B21&gt;0,G22,0)</f>
        <v>85</v>
      </c>
      <c r="H48" s="180">
        <f>IF(B21&gt;0,H22,0)</f>
        <v>81</v>
      </c>
      <c r="I48" s="180">
        <f>IF(B21&gt;0,I22,0)</f>
        <v>80</v>
      </c>
      <c r="J48" s="180">
        <f>IF(B21&gt;0,J22,0)</f>
        <v>80</v>
      </c>
      <c r="K48" s="180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</row>
    <row r="49" spans="1:29" s="181" customFormat="1">
      <c r="A49" s="179"/>
      <c r="B49" s="179"/>
      <c r="C49" s="180">
        <f>IF(B28&gt;0,C29,0)</f>
        <v>79</v>
      </c>
      <c r="D49" s="180">
        <f>IF(B28&gt;0,D29,0)</f>
        <v>78</v>
      </c>
      <c r="E49" s="180">
        <f>IF(B28&gt;0,E29,0)</f>
        <v>80</v>
      </c>
      <c r="F49" s="180">
        <f>IF(B28&gt;0,F29,0)</f>
        <v>80</v>
      </c>
      <c r="G49" s="180">
        <f>IF(B28&gt;0,G29,0)</f>
        <v>80</v>
      </c>
      <c r="H49" s="180">
        <f>IF(B28&gt;0,H29,0)</f>
        <v>80</v>
      </c>
      <c r="I49" s="180">
        <f>IF(B28&gt;0,I29,0)</f>
        <v>80</v>
      </c>
      <c r="J49" s="180">
        <f>IF(B28&gt;0,J29,0)</f>
        <v>81</v>
      </c>
      <c r="K49" s="180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</row>
    <row r="50" spans="1:29" s="181" customFormat="1">
      <c r="C50" s="183">
        <f>IF(B35&gt;0,C36,0)</f>
        <v>80</v>
      </c>
      <c r="D50" s="183">
        <f>IF(B35&gt;0,D36,0)</f>
        <v>85</v>
      </c>
      <c r="E50" s="183">
        <f>IF(B35&gt;0,E36,0)</f>
        <v>89</v>
      </c>
      <c r="F50" s="183">
        <f>IF(B35&gt;0,F36,0)</f>
        <v>89</v>
      </c>
      <c r="G50" s="183">
        <f>IF(B35&gt;0,G36,0)</f>
        <v>85</v>
      </c>
      <c r="H50" s="183">
        <f>IF(B35&gt;0,H36,0)</f>
        <v>90</v>
      </c>
      <c r="I50" s="183">
        <f>IF(B35&gt;0,I36,0)</f>
        <v>90</v>
      </c>
      <c r="J50" s="183">
        <f>IF(B35&gt;0,J36,0)</f>
        <v>85</v>
      </c>
      <c r="K50" s="182"/>
    </row>
  </sheetData>
  <sheetProtection password="E625" sheet="1" objects="1" scenarios="1"/>
  <mergeCells count="53">
    <mergeCell ref="B44:O44"/>
    <mergeCell ref="K29:K32"/>
    <mergeCell ref="L29:L32"/>
    <mergeCell ref="C34:J34"/>
    <mergeCell ref="F5:J5"/>
    <mergeCell ref="A32:B32"/>
    <mergeCell ref="A35:A36"/>
    <mergeCell ref="B35:B36"/>
    <mergeCell ref="K36:K39"/>
    <mergeCell ref="B14:B15"/>
    <mergeCell ref="K22:K25"/>
    <mergeCell ref="L22:L25"/>
    <mergeCell ref="C20:J20"/>
    <mergeCell ref="A17:B17"/>
    <mergeCell ref="A42:A43"/>
    <mergeCell ref="B41:B43"/>
    <mergeCell ref="B45:O45"/>
    <mergeCell ref="A6:B6"/>
    <mergeCell ref="A13:B13"/>
    <mergeCell ref="A20:B20"/>
    <mergeCell ref="A27:B27"/>
    <mergeCell ref="A18:B18"/>
    <mergeCell ref="L36:L39"/>
    <mergeCell ref="A38:B38"/>
    <mergeCell ref="A39:B39"/>
    <mergeCell ref="A14:A15"/>
    <mergeCell ref="A21:A22"/>
    <mergeCell ref="B21:B22"/>
    <mergeCell ref="A24:B24"/>
    <mergeCell ref="A25:B25"/>
    <mergeCell ref="K15:K18"/>
    <mergeCell ref="L15:L18"/>
    <mergeCell ref="A1:O1"/>
    <mergeCell ref="A2:O2"/>
    <mergeCell ref="C6:J6"/>
    <mergeCell ref="C13:J13"/>
    <mergeCell ref="K8:K11"/>
    <mergeCell ref="L8:L11"/>
    <mergeCell ref="A7:A8"/>
    <mergeCell ref="B7:B8"/>
    <mergeCell ref="A10:B10"/>
    <mergeCell ref="A11:B11"/>
    <mergeCell ref="C27:J27"/>
    <mergeCell ref="A28:A29"/>
    <mergeCell ref="B28:B29"/>
    <mergeCell ref="A31:B31"/>
    <mergeCell ref="A34:B34"/>
    <mergeCell ref="O41:O43"/>
    <mergeCell ref="I41:J43"/>
    <mergeCell ref="K41:K43"/>
    <mergeCell ref="L41:L43"/>
    <mergeCell ref="M41:M43"/>
    <mergeCell ref="N41:N43"/>
  </mergeCells>
  <phoneticPr fontId="0" type="noConversion"/>
  <pageMargins left="0.78740157480314965" right="0.78740157480314965" top="0.78740157480314965" bottom="0.25" header="0.51181102362204722" footer="0.51181102362204722"/>
  <pageSetup orientation="landscape" horizontalDpi="300" verticalDpi="300" r:id="rId1"/>
  <headerFooter alignWithMargins="0">
    <oddHeader>&amp;CCURSO PPRA - DOSIMETRIA DE RUÍDO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1"/>
  <sheetViews>
    <sheetView topLeftCell="A4" zoomScale="75" workbookViewId="0">
      <selection activeCell="M20" sqref="M20"/>
    </sheetView>
  </sheetViews>
  <sheetFormatPr defaultRowHeight="15"/>
  <cols>
    <col min="1" max="1" width="0.42578125" style="93" customWidth="1"/>
    <col min="2" max="2" width="17.42578125" style="91" customWidth="1"/>
    <col min="3" max="3" width="9.28515625" style="91" customWidth="1"/>
    <col min="4" max="4" width="6.85546875" style="91" customWidth="1"/>
    <col min="5" max="5" width="4" style="91" hidden="1" customWidth="1"/>
    <col min="6" max="6" width="14.28515625" style="91" customWidth="1"/>
    <col min="7" max="7" width="8" style="91" hidden="1" customWidth="1"/>
    <col min="8" max="8" width="22.85546875" style="91" customWidth="1"/>
    <col min="9" max="9" width="4.85546875" style="91" customWidth="1"/>
    <col min="10" max="10" width="25.5703125" style="91" customWidth="1"/>
    <col min="11" max="11" width="9.85546875" style="91" customWidth="1"/>
    <col min="12" max="12" width="5.5703125" style="91" customWidth="1"/>
    <col min="13" max="13" width="20.5703125" style="91" customWidth="1"/>
    <col min="14" max="14" width="12.140625" style="91" customWidth="1"/>
    <col min="15" max="16384" width="9.140625" style="91"/>
  </cols>
  <sheetData>
    <row r="1" spans="1:17" ht="25.5">
      <c r="B1" s="207" t="s">
        <v>33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9"/>
      <c r="N1" s="29"/>
      <c r="O1" s="29"/>
      <c r="P1" s="29"/>
      <c r="Q1" s="29"/>
    </row>
    <row r="2" spans="1:17" ht="20.25">
      <c r="B2" s="208" t="s">
        <v>53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66"/>
      <c r="N2" s="66"/>
      <c r="O2" s="66"/>
      <c r="P2" s="66"/>
      <c r="Q2" s="66"/>
    </row>
    <row r="3" spans="1:17" ht="14.25" customHeight="1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s="90" customFormat="1" ht="17.25" customHeight="1">
      <c r="A4" s="95"/>
      <c r="B4" s="95"/>
      <c r="C4" s="95"/>
      <c r="D4" s="95"/>
      <c r="E4" s="95"/>
      <c r="F4" s="95"/>
      <c r="G4" s="94"/>
      <c r="H4" s="95"/>
      <c r="I4" s="95"/>
      <c r="J4" s="95"/>
      <c r="K4" s="95"/>
      <c r="L4" s="95"/>
      <c r="M4" s="95"/>
      <c r="N4" s="95"/>
      <c r="O4" s="95"/>
    </row>
    <row r="5" spans="1:17" s="90" customFormat="1" ht="21" customHeight="1" thickBot="1">
      <c r="A5" s="95"/>
      <c r="C5" s="95"/>
      <c r="E5" s="173"/>
      <c r="F5" s="173" t="s">
        <v>69</v>
      </c>
      <c r="G5" s="94"/>
      <c r="H5" s="174" t="s">
        <v>19</v>
      </c>
      <c r="I5" s="108"/>
      <c r="J5" s="108"/>
      <c r="K5" s="108"/>
      <c r="L5" s="108"/>
      <c r="M5" s="95"/>
      <c r="N5" s="95"/>
      <c r="O5" s="95"/>
    </row>
    <row r="6" spans="1:17" s="90" customFormat="1" ht="19.5" customHeight="1" thickBot="1">
      <c r="A6" s="95"/>
      <c r="B6" s="216" t="s">
        <v>27</v>
      </c>
      <c r="C6" s="271"/>
      <c r="D6" s="272"/>
      <c r="E6" s="95"/>
      <c r="F6" s="158" t="s">
        <v>67</v>
      </c>
      <c r="G6" s="126"/>
      <c r="H6" s="138"/>
      <c r="I6" s="168"/>
      <c r="J6" s="168"/>
      <c r="K6" s="169"/>
      <c r="L6" s="100"/>
      <c r="M6" s="95"/>
      <c r="N6" s="95"/>
      <c r="O6" s="95"/>
    </row>
    <row r="7" spans="1:17" s="90" customFormat="1" ht="15.75" customHeight="1" thickBot="1">
      <c r="A7" s="157"/>
      <c r="B7" s="273" t="s">
        <v>62</v>
      </c>
      <c r="C7" s="273"/>
      <c r="D7" s="275">
        <v>480</v>
      </c>
      <c r="E7" s="95"/>
      <c r="F7" s="170" t="s">
        <v>68</v>
      </c>
      <c r="G7" s="133"/>
      <c r="H7" s="137"/>
      <c r="I7" s="136"/>
      <c r="J7" s="136"/>
      <c r="K7" s="156"/>
      <c r="L7" s="95"/>
      <c r="M7" s="95"/>
      <c r="N7" s="95"/>
      <c r="O7" s="95"/>
    </row>
    <row r="8" spans="1:17" s="90" customFormat="1" ht="16.5" customHeight="1" thickBot="1">
      <c r="A8" s="157"/>
      <c r="B8" s="274"/>
      <c r="C8" s="274"/>
      <c r="D8" s="276"/>
      <c r="E8" s="92"/>
      <c r="F8" s="161" t="s">
        <v>63</v>
      </c>
      <c r="G8" s="162"/>
      <c r="H8" s="162"/>
      <c r="I8" s="162"/>
      <c r="J8" s="162"/>
      <c r="K8" s="163"/>
      <c r="L8" s="95"/>
      <c r="M8" s="95"/>
      <c r="N8" s="95"/>
      <c r="O8" s="95"/>
    </row>
    <row r="9" spans="1:17" s="90" customFormat="1" ht="18" customHeight="1" thickBot="1">
      <c r="A9" s="95"/>
      <c r="B9" s="102" t="s">
        <v>45</v>
      </c>
      <c r="C9" s="103"/>
      <c r="D9" s="104"/>
      <c r="E9" s="92"/>
      <c r="F9" s="160" t="s">
        <v>48</v>
      </c>
      <c r="G9" s="95"/>
      <c r="H9" s="277" t="s">
        <v>55</v>
      </c>
      <c r="I9" s="278"/>
      <c r="J9" s="159" t="s">
        <v>55</v>
      </c>
      <c r="K9" s="285" t="s">
        <v>59</v>
      </c>
      <c r="L9" s="286"/>
      <c r="M9" s="139"/>
      <c r="N9" s="109"/>
      <c r="O9" s="95"/>
    </row>
    <row r="10" spans="1:17" s="90" customFormat="1" ht="13.5" customHeight="1">
      <c r="A10" s="95"/>
      <c r="B10" s="120" t="s">
        <v>60</v>
      </c>
      <c r="C10" s="164"/>
      <c r="D10" s="114" t="str">
        <f t="shared" ref="D10:D18" si="0">IF(E10&gt;0,"Não Preecha       ","-----&gt;&gt;")</f>
        <v xml:space="preserve">Não Preecha       </v>
      </c>
      <c r="E10" s="106">
        <f>SUM(C11:C18)</f>
        <v>60</v>
      </c>
      <c r="F10" s="287">
        <f>SUM(G10:G18)</f>
        <v>480</v>
      </c>
      <c r="G10" s="111">
        <f>C10</f>
        <v>0</v>
      </c>
      <c r="H10" s="292" t="s">
        <v>46</v>
      </c>
      <c r="I10" s="293"/>
      <c r="J10" s="122" t="s">
        <v>46</v>
      </c>
      <c r="K10" s="279">
        <f>160-(10*LOG(F10))</f>
        <v>133.18758762624412</v>
      </c>
      <c r="L10" s="280"/>
      <c r="M10" s="101"/>
      <c r="N10" s="101"/>
      <c r="O10" s="95"/>
    </row>
    <row r="11" spans="1:17" s="90" customFormat="1" ht="13.5" customHeight="1">
      <c r="A11" s="95"/>
      <c r="B11" s="105" t="s">
        <v>37</v>
      </c>
      <c r="C11" s="165">
        <v>60</v>
      </c>
      <c r="D11" s="115" t="str">
        <f t="shared" si="0"/>
        <v>-----&gt;&gt;</v>
      </c>
      <c r="E11" s="96">
        <f>SUM(C12:C18)+C10</f>
        <v>0</v>
      </c>
      <c r="F11" s="288"/>
      <c r="G11" s="111">
        <f>C11*(D7/60)</f>
        <v>480</v>
      </c>
      <c r="H11" s="290" t="s">
        <v>47</v>
      </c>
      <c r="I11" s="291"/>
      <c r="J11" s="123" t="s">
        <v>57</v>
      </c>
      <c r="K11" s="281"/>
      <c r="L11" s="282"/>
      <c r="M11" s="101"/>
      <c r="N11" s="101"/>
      <c r="O11" s="95"/>
    </row>
    <row r="12" spans="1:17" s="90" customFormat="1" ht="13.5" customHeight="1">
      <c r="A12" s="95"/>
      <c r="B12" s="97" t="s">
        <v>38</v>
      </c>
      <c r="C12" s="166"/>
      <c r="D12" s="116" t="str">
        <f t="shared" si="0"/>
        <v xml:space="preserve">Não Preecha       </v>
      </c>
      <c r="E12" s="96">
        <f>SUM(C13:C18)+C11+C10</f>
        <v>60</v>
      </c>
      <c r="F12" s="288"/>
      <c r="G12" s="111">
        <f>C12*(D7/50)</f>
        <v>0</v>
      </c>
      <c r="H12" s="108" t="s">
        <v>65</v>
      </c>
      <c r="I12" s="171" t="s">
        <v>64</v>
      </c>
      <c r="J12" s="124" t="s">
        <v>58</v>
      </c>
      <c r="K12" s="281"/>
      <c r="L12" s="282"/>
      <c r="M12" s="108"/>
      <c r="N12" s="108"/>
      <c r="O12" s="107"/>
    </row>
    <row r="13" spans="1:17" s="90" customFormat="1" ht="13.5" customHeight="1">
      <c r="A13" s="95"/>
      <c r="B13" s="97" t="s">
        <v>39</v>
      </c>
      <c r="C13" s="166"/>
      <c r="D13" s="116" t="str">
        <f t="shared" si="0"/>
        <v xml:space="preserve">Não Preecha       </v>
      </c>
      <c r="E13" s="96">
        <f>SUM(C14:C18)+C11+C12+C10</f>
        <v>60</v>
      </c>
      <c r="F13" s="288"/>
      <c r="G13" s="111">
        <f>C13*(D7/40)</f>
        <v>0</v>
      </c>
      <c r="H13" s="297" t="s">
        <v>56</v>
      </c>
      <c r="I13" s="298"/>
      <c r="J13" s="172" t="s">
        <v>66</v>
      </c>
      <c r="K13" s="281"/>
      <c r="L13" s="282"/>
      <c r="M13" s="101"/>
      <c r="N13" s="101"/>
      <c r="O13" s="107"/>
    </row>
    <row r="14" spans="1:17" s="90" customFormat="1" ht="13.5" customHeight="1">
      <c r="A14" s="95"/>
      <c r="B14" s="97" t="s">
        <v>40</v>
      </c>
      <c r="C14" s="166"/>
      <c r="D14" s="116" t="str">
        <f t="shared" si="0"/>
        <v xml:space="preserve">Não Preecha       </v>
      </c>
      <c r="E14" s="96">
        <f>SUM(C15:C18)+SUM(C10:C13)</f>
        <v>60</v>
      </c>
      <c r="F14" s="288"/>
      <c r="G14" s="111">
        <f>C14*(D7/30)</f>
        <v>0</v>
      </c>
      <c r="H14" s="265">
        <v>94</v>
      </c>
      <c r="I14" s="266"/>
      <c r="J14" s="294">
        <v>94</v>
      </c>
      <c r="K14" s="281"/>
      <c r="L14" s="282"/>
      <c r="M14" s="112"/>
      <c r="N14" s="110"/>
      <c r="O14" s="107"/>
    </row>
    <row r="15" spans="1:17" s="90" customFormat="1" ht="13.5" customHeight="1">
      <c r="A15" s="95"/>
      <c r="B15" s="97" t="s">
        <v>41</v>
      </c>
      <c r="C15" s="166"/>
      <c r="D15" s="116" t="str">
        <f t="shared" si="0"/>
        <v xml:space="preserve">Não Preecha       </v>
      </c>
      <c r="E15" s="96">
        <f>SUM(C16:C18)+SUM(C10:C14)</f>
        <v>60</v>
      </c>
      <c r="F15" s="288"/>
      <c r="G15" s="111">
        <f>C15*(D7/20)</f>
        <v>0</v>
      </c>
      <c r="H15" s="267"/>
      <c r="I15" s="268"/>
      <c r="J15" s="295"/>
      <c r="K15" s="281"/>
      <c r="L15" s="282"/>
      <c r="M15" s="112"/>
      <c r="N15" s="107"/>
      <c r="O15" s="107"/>
    </row>
    <row r="16" spans="1:17" s="90" customFormat="1" ht="13.5" customHeight="1">
      <c r="A16" s="95"/>
      <c r="B16" s="97" t="s">
        <v>42</v>
      </c>
      <c r="C16" s="166"/>
      <c r="D16" s="116" t="str">
        <f t="shared" si="0"/>
        <v xml:space="preserve">Não Preecha       </v>
      </c>
      <c r="E16" s="96">
        <f>SUM(C17:C18)+SUM(C10:C15)</f>
        <v>60</v>
      </c>
      <c r="F16" s="288"/>
      <c r="G16" s="111">
        <f>C16*(D7/15)</f>
        <v>0</v>
      </c>
      <c r="H16" s="267"/>
      <c r="I16" s="268"/>
      <c r="J16" s="295"/>
      <c r="K16" s="281"/>
      <c r="L16" s="282"/>
      <c r="M16" s="112"/>
      <c r="N16" s="107"/>
      <c r="O16" s="107"/>
    </row>
    <row r="17" spans="1:15" s="90" customFormat="1" ht="13.5" customHeight="1">
      <c r="A17" s="95"/>
      <c r="B17" s="97" t="s">
        <v>43</v>
      </c>
      <c r="C17" s="166"/>
      <c r="D17" s="116" t="str">
        <f t="shared" si="0"/>
        <v xml:space="preserve">Não Preecha       </v>
      </c>
      <c r="E17" s="96">
        <f>C18+SUM(C10:C16)</f>
        <v>60</v>
      </c>
      <c r="F17" s="288"/>
      <c r="G17" s="111">
        <f>C17*(D7/10)</f>
        <v>0</v>
      </c>
      <c r="H17" s="267"/>
      <c r="I17" s="268"/>
      <c r="J17" s="295"/>
      <c r="K17" s="281"/>
      <c r="L17" s="282"/>
      <c r="M17" s="112"/>
      <c r="N17" s="107"/>
      <c r="O17" s="107"/>
    </row>
    <row r="18" spans="1:15" s="90" customFormat="1" ht="13.5" customHeight="1" thickBot="1">
      <c r="A18" s="95"/>
      <c r="B18" s="98" t="s">
        <v>44</v>
      </c>
      <c r="C18" s="167"/>
      <c r="D18" s="117" t="str">
        <f t="shared" si="0"/>
        <v xml:space="preserve">Não Preecha       </v>
      </c>
      <c r="E18" s="96">
        <f>SUM(C10:C17)</f>
        <v>60</v>
      </c>
      <c r="F18" s="289"/>
      <c r="G18" s="111">
        <f>C18*(D7/5)</f>
        <v>0</v>
      </c>
      <c r="H18" s="269"/>
      <c r="I18" s="270"/>
      <c r="J18" s="296"/>
      <c r="K18" s="283"/>
      <c r="L18" s="284"/>
      <c r="M18" s="112"/>
      <c r="N18" s="107"/>
      <c r="O18" s="107"/>
    </row>
    <row r="19" spans="1:15" s="90" customFormat="1" ht="18" customHeight="1">
      <c r="A19" s="95"/>
      <c r="B19" s="141" t="s">
        <v>61</v>
      </c>
      <c r="C19" s="118"/>
      <c r="D19" s="118"/>
      <c r="E19" s="118"/>
      <c r="F19" s="119"/>
      <c r="G19" s="99"/>
      <c r="H19" s="119"/>
      <c r="I19" s="99"/>
      <c r="J19" s="99"/>
      <c r="K19" s="99"/>
      <c r="L19" s="99"/>
      <c r="M19" s="99"/>
      <c r="N19" s="107"/>
      <c r="O19" s="107"/>
    </row>
    <row r="20" spans="1:15" s="90" customFormat="1" ht="18" customHeight="1" thickBot="1">
      <c r="A20" s="95"/>
      <c r="C20" s="95"/>
      <c r="D20" s="95"/>
      <c r="E20" s="95"/>
      <c r="F20" s="95"/>
      <c r="G20" s="99"/>
      <c r="I20" s="95"/>
      <c r="J20" s="95"/>
      <c r="K20" s="99"/>
      <c r="L20" s="99"/>
      <c r="M20" s="99"/>
      <c r="N20" s="107"/>
      <c r="O20" s="107"/>
    </row>
    <row r="21" spans="1:15" s="90" customFormat="1" ht="12.75" customHeight="1">
      <c r="A21" s="125" t="s">
        <v>49</v>
      </c>
      <c r="B21" s="150"/>
      <c r="C21" s="126"/>
      <c r="D21" s="127"/>
      <c r="E21" s="119"/>
      <c r="F21" s="128"/>
      <c r="H21" s="95"/>
      <c r="I21" s="99"/>
      <c r="J21" s="99"/>
      <c r="K21" s="99"/>
      <c r="L21" s="99"/>
      <c r="M21" s="99"/>
      <c r="N21" s="95"/>
      <c r="O21" s="95"/>
    </row>
    <row r="22" spans="1:15" s="90" customFormat="1" ht="12.75" customHeight="1">
      <c r="A22" s="129" t="s">
        <v>50</v>
      </c>
      <c r="B22" s="151"/>
      <c r="C22" s="94"/>
      <c r="D22" s="113"/>
      <c r="E22" s="99"/>
      <c r="F22" s="130"/>
      <c r="H22" s="95"/>
      <c r="I22" s="99"/>
      <c r="J22" s="99"/>
      <c r="K22" s="99"/>
      <c r="L22" s="99"/>
      <c r="M22" s="99"/>
      <c r="N22" s="95"/>
      <c r="O22" s="95"/>
    </row>
    <row r="23" spans="1:15" s="90" customFormat="1" ht="12.75" customHeight="1">
      <c r="A23" s="131" t="s">
        <v>51</v>
      </c>
      <c r="B23" s="151"/>
      <c r="C23" s="94"/>
      <c r="D23" s="113"/>
      <c r="E23" s="99"/>
      <c r="F23" s="130"/>
      <c r="H23" s="95"/>
      <c r="I23" s="99"/>
      <c r="J23" s="99"/>
      <c r="K23" s="99"/>
      <c r="L23" s="99"/>
      <c r="M23" s="99"/>
      <c r="N23" s="95"/>
      <c r="O23" s="95"/>
    </row>
    <row r="24" spans="1:15" ht="12.75" customHeight="1" thickBot="1">
      <c r="A24" s="132" t="s">
        <v>54</v>
      </c>
      <c r="B24" s="152"/>
      <c r="C24" s="133"/>
      <c r="D24" s="133"/>
      <c r="E24" s="134"/>
      <c r="F24" s="135"/>
      <c r="H24" s="93"/>
      <c r="I24" s="93"/>
      <c r="J24" s="93"/>
      <c r="K24" s="93"/>
      <c r="L24" s="93"/>
      <c r="M24" s="93"/>
      <c r="N24" s="93"/>
      <c r="O24" s="93"/>
    </row>
    <row r="25" spans="1:15" ht="17.25" customHeight="1">
      <c r="A25" s="142">
        <f>K10-3</f>
        <v>130.18758762624412</v>
      </c>
      <c r="C25" s="143" t="str">
        <f>IF(F10&gt;10000,"**O número de impactos diários superou 10.000, deve-se","  ")</f>
        <v xml:space="preserve">  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</row>
    <row r="26" spans="1:15" ht="16.5" customHeight="1" thickBot="1">
      <c r="B26" s="121" t="s">
        <v>52</v>
      </c>
      <c r="C26" s="143" t="str">
        <f>IF(F10&gt;10000,"  considerar como ruído contínuo segundo a NHO 01Item 5.2.**"," ")</f>
        <v xml:space="preserve"> 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</row>
    <row r="27" spans="1:15" s="93" customFormat="1" ht="22.5" customHeight="1">
      <c r="A27" s="153" t="str">
        <f>IF(J14&gt;140, "   *O limite de tolerância está em desconformidade com a  NHO 01 e NR15  anexo 2, item 4.","   *O limite de tolerância está em conformidade com a NR15  anexo 2, item 4.")</f>
        <v xml:space="preserve">   *O limite de tolerância está em conformidade com a NR15  anexo 2, item 4.</v>
      </c>
      <c r="B27" s="144"/>
      <c r="C27" s="140"/>
      <c r="D27" s="140"/>
      <c r="E27" s="140"/>
      <c r="F27" s="140"/>
      <c r="G27" s="140"/>
      <c r="H27" s="140"/>
      <c r="I27" s="140"/>
      <c r="J27" s="148"/>
      <c r="M27" s="145"/>
    </row>
    <row r="28" spans="1:15" s="93" customFormat="1" ht="15.75" customHeight="1">
      <c r="A28" s="154" t="str">
        <f>IF(H14&gt;K10,"   *O limite de tolerância está em desconformidade com a NHO 01.","   *O limite de tolerância está em conformidade com a NHO 01.")</f>
        <v xml:space="preserve">   *O limite de tolerância está em conformidade com a NHO 01.</v>
      </c>
      <c r="B28" s="146"/>
      <c r="J28" s="149"/>
      <c r="M28" s="145"/>
    </row>
    <row r="29" spans="1:15" s="93" customFormat="1" ht="15.75" customHeight="1" thickBot="1">
      <c r="A29" s="155" t="str">
        <f>IF(H14&gt;A25,"    *O nível de ação foi ultrapassado segundo NHO 01.","    *O nível de ação não foi ultrapassado segundo NHO 01.")</f>
        <v xml:space="preserve">    *O nível de ação não foi ultrapassado segundo NHO 01.</v>
      </c>
      <c r="B29" s="147"/>
      <c r="C29" s="134"/>
      <c r="D29" s="134"/>
      <c r="E29" s="134"/>
      <c r="F29" s="134"/>
      <c r="G29" s="134"/>
      <c r="H29" s="134"/>
      <c r="I29" s="134"/>
      <c r="J29" s="135"/>
      <c r="M29" s="145"/>
    </row>
    <row r="30" spans="1:15" s="93" customFormat="1" ht="12.75" customHeight="1"/>
    <row r="31" spans="1:15" ht="12.75" customHeight="1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</row>
    <row r="32" spans="1:15" ht="12.75" customHeight="1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  <row r="33" spans="2:15" ht="12.75" customHeight="1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2:15"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2:15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2:15"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2:15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</row>
    <row r="38" spans="2:1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2:15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</row>
    <row r="40" spans="2:15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</row>
    <row r="41" spans="2:15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</row>
  </sheetData>
  <sheetProtection password="E625" sheet="1" objects="1" scenarios="1"/>
  <mergeCells count="14">
    <mergeCell ref="H14:I18"/>
    <mergeCell ref="B6:D6"/>
    <mergeCell ref="B7:C8"/>
    <mergeCell ref="D7:D8"/>
    <mergeCell ref="B1:L1"/>
    <mergeCell ref="B2:L2"/>
    <mergeCell ref="H9:I9"/>
    <mergeCell ref="K10:L18"/>
    <mergeCell ref="K9:L9"/>
    <mergeCell ref="F10:F18"/>
    <mergeCell ref="H11:I11"/>
    <mergeCell ref="H10:I10"/>
    <mergeCell ref="J14:J18"/>
    <mergeCell ref="H13:I13"/>
  </mergeCells>
  <phoneticPr fontId="0" type="noConversion"/>
  <pageMargins left="0.78740157499999996" right="0.78740157499999996" top="0.984251969" bottom="0.984251969" header="0.49212598499999999" footer="0.49212598499999999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3"/>
  <sheetViews>
    <sheetView topLeftCell="B3" workbookViewId="0">
      <selection activeCell="H10" sqref="H10"/>
    </sheetView>
  </sheetViews>
  <sheetFormatPr defaultRowHeight="12.75"/>
  <cols>
    <col min="2" max="2" width="9.140625" style="84"/>
    <col min="4" max="4" width="9.140625" style="88"/>
    <col min="7" max="7" width="10.140625" customWidth="1"/>
  </cols>
  <sheetData>
    <row r="1" spans="1:9">
      <c r="A1" s="299" t="s">
        <v>14</v>
      </c>
      <c r="B1" s="299"/>
      <c r="C1" s="1"/>
      <c r="D1" s="86"/>
      <c r="E1" s="1"/>
      <c r="F1" s="1"/>
    </row>
    <row r="2" spans="1:9">
      <c r="A2" s="1" t="s">
        <v>10</v>
      </c>
      <c r="B2" s="82" t="s">
        <v>11</v>
      </c>
      <c r="C2" s="1"/>
      <c r="D2" s="86"/>
      <c r="E2" s="1"/>
      <c r="F2" s="1"/>
    </row>
    <row r="3" spans="1:9">
      <c r="A3" s="1">
        <v>85</v>
      </c>
      <c r="B3" s="82">
        <v>480</v>
      </c>
      <c r="C3" s="1">
        <v>70</v>
      </c>
      <c r="D3" s="87">
        <f>8/(POWER(2,((C3-85)/5)))*60</f>
        <v>3840</v>
      </c>
      <c r="E3" s="1"/>
      <c r="F3" s="1"/>
    </row>
    <row r="4" spans="1:9">
      <c r="A4" s="1">
        <v>86</v>
      </c>
      <c r="B4" s="82">
        <v>420</v>
      </c>
      <c r="C4" s="1">
        <v>71</v>
      </c>
      <c r="D4" s="87">
        <f t="shared" ref="D4:D17" si="0">8/(POWER(2,((C4-85)/5)))*60</f>
        <v>3342.9141630571166</v>
      </c>
      <c r="E4" s="1"/>
      <c r="F4" s="1"/>
    </row>
    <row r="5" spans="1:9">
      <c r="A5" s="1">
        <v>87</v>
      </c>
      <c r="B5" s="82">
        <v>360</v>
      </c>
      <c r="C5" s="1">
        <v>72</v>
      </c>
      <c r="D5" s="87">
        <f t="shared" si="0"/>
        <v>2910.175807699964</v>
      </c>
      <c r="E5" s="1"/>
      <c r="F5" s="1"/>
    </row>
    <row r="6" spans="1:9">
      <c r="A6" s="1">
        <v>88</v>
      </c>
      <c r="B6" s="82">
        <v>300</v>
      </c>
      <c r="C6" s="1">
        <v>73</v>
      </c>
      <c r="D6" s="87">
        <f t="shared" si="0"/>
        <v>2533.4551886839567</v>
      </c>
      <c r="E6" s="1"/>
      <c r="F6" s="1"/>
    </row>
    <row r="7" spans="1:9" ht="13.5" thickBot="1">
      <c r="A7" s="1">
        <v>89</v>
      </c>
      <c r="B7" s="82">
        <v>270</v>
      </c>
      <c r="C7" s="1">
        <v>74</v>
      </c>
      <c r="D7" s="87">
        <f t="shared" si="0"/>
        <v>2205.5008415943071</v>
      </c>
      <c r="E7" s="1"/>
      <c r="F7" s="1"/>
    </row>
    <row r="8" spans="1:9" ht="13.5" thickBot="1">
      <c r="A8" s="1">
        <v>90</v>
      </c>
      <c r="B8" s="82">
        <v>240</v>
      </c>
      <c r="C8" s="1">
        <v>75</v>
      </c>
      <c r="D8" s="87">
        <f t="shared" si="0"/>
        <v>1920</v>
      </c>
      <c r="E8" s="1"/>
      <c r="F8" s="300" t="s">
        <v>13</v>
      </c>
      <c r="G8" s="301"/>
      <c r="H8" s="301"/>
      <c r="I8" s="302"/>
    </row>
    <row r="9" spans="1:9">
      <c r="A9" s="1">
        <v>91</v>
      </c>
      <c r="B9" s="82">
        <v>210</v>
      </c>
      <c r="C9" s="1">
        <v>76</v>
      </c>
      <c r="D9" s="87">
        <f t="shared" si="0"/>
        <v>1671.4570815285583</v>
      </c>
      <c r="G9" s="89"/>
      <c r="H9" s="89" t="s">
        <v>22</v>
      </c>
      <c r="I9" s="5"/>
    </row>
    <row r="10" spans="1:9">
      <c r="A10" s="1">
        <v>92</v>
      </c>
      <c r="B10" s="82">
        <v>180</v>
      </c>
      <c r="C10" s="1">
        <v>77</v>
      </c>
      <c r="D10" s="87">
        <f t="shared" si="0"/>
        <v>1455.087903849982</v>
      </c>
      <c r="G10" s="3" t="s">
        <v>12</v>
      </c>
      <c r="H10" s="81">
        <f>8/(POWER(2,((H11-85)/3)))*60</f>
        <v>30</v>
      </c>
      <c r="I10" s="5"/>
    </row>
    <row r="11" spans="1:9">
      <c r="A11" s="1">
        <v>93</v>
      </c>
      <c r="B11" s="82">
        <v>160</v>
      </c>
      <c r="C11" s="1">
        <v>78</v>
      </c>
      <c r="D11" s="87">
        <f t="shared" si="0"/>
        <v>1266.7275943419784</v>
      </c>
      <c r="G11" s="3" t="s">
        <v>10</v>
      </c>
      <c r="H11" s="85">
        <v>97</v>
      </c>
      <c r="I11" s="2"/>
    </row>
    <row r="12" spans="1:9">
      <c r="A12" s="1">
        <v>94</v>
      </c>
      <c r="B12" s="82">
        <v>135</v>
      </c>
      <c r="C12" s="1">
        <v>79</v>
      </c>
      <c r="D12" s="87">
        <f t="shared" si="0"/>
        <v>1102.7504207971538</v>
      </c>
    </row>
    <row r="13" spans="1:9">
      <c r="A13" s="1">
        <v>95</v>
      </c>
      <c r="B13" s="82">
        <v>120</v>
      </c>
      <c r="C13" s="1">
        <v>80</v>
      </c>
      <c r="D13" s="87">
        <f t="shared" si="0"/>
        <v>960</v>
      </c>
      <c r="E13" s="1"/>
      <c r="F13" s="1"/>
    </row>
    <row r="14" spans="1:9">
      <c r="A14" s="1">
        <v>96</v>
      </c>
      <c r="B14" s="82">
        <v>105</v>
      </c>
      <c r="C14" s="1">
        <v>81</v>
      </c>
      <c r="D14" s="87">
        <f t="shared" si="0"/>
        <v>835.72854076427916</v>
      </c>
      <c r="E14" s="1"/>
      <c r="F14" s="1"/>
    </row>
    <row r="15" spans="1:9" ht="18" customHeight="1">
      <c r="A15" s="4">
        <v>97</v>
      </c>
      <c r="B15" s="83">
        <v>91</v>
      </c>
      <c r="C15" s="1">
        <v>82</v>
      </c>
      <c r="D15" s="87">
        <f t="shared" si="0"/>
        <v>727.54395192499101</v>
      </c>
      <c r="E15" s="1"/>
      <c r="F15" s="1"/>
    </row>
    <row r="16" spans="1:9">
      <c r="A16" s="1">
        <v>98</v>
      </c>
      <c r="B16" s="82">
        <v>75</v>
      </c>
      <c r="C16" s="1">
        <v>83</v>
      </c>
      <c r="D16" s="87">
        <f t="shared" si="0"/>
        <v>633.36379717098919</v>
      </c>
      <c r="E16" s="1"/>
      <c r="F16" s="1"/>
    </row>
    <row r="17" spans="1:6">
      <c r="A17" s="1">
        <v>99</v>
      </c>
      <c r="B17" s="82">
        <v>69</v>
      </c>
      <c r="C17" s="1">
        <v>84</v>
      </c>
      <c r="D17" s="87">
        <f t="shared" si="0"/>
        <v>551.37521039857688</v>
      </c>
      <c r="E17" s="1"/>
      <c r="F17" s="1"/>
    </row>
    <row r="18" spans="1:6">
      <c r="A18" s="1">
        <v>100</v>
      </c>
      <c r="B18" s="82">
        <v>60</v>
      </c>
      <c r="C18" s="1"/>
      <c r="D18" s="86"/>
      <c r="E18" s="1"/>
      <c r="F18" s="1"/>
    </row>
    <row r="19" spans="1:6">
      <c r="A19" s="1">
        <v>101</v>
      </c>
      <c r="B19" s="82">
        <v>53</v>
      </c>
      <c r="C19" s="1"/>
      <c r="D19" s="86"/>
      <c r="E19" s="1"/>
      <c r="F19" s="1"/>
    </row>
    <row r="20" spans="1:6">
      <c r="A20" s="1">
        <v>102</v>
      </c>
      <c r="B20" s="82">
        <v>45</v>
      </c>
      <c r="C20" s="1"/>
      <c r="D20" s="86"/>
      <c r="E20" s="1"/>
      <c r="F20" s="1"/>
    </row>
    <row r="21" spans="1:6">
      <c r="A21" s="1">
        <v>103</v>
      </c>
      <c r="B21" s="82">
        <v>40</v>
      </c>
      <c r="C21" s="1"/>
      <c r="D21" s="86"/>
      <c r="E21" s="1"/>
      <c r="F21" s="1"/>
    </row>
    <row r="22" spans="1:6">
      <c r="A22" s="1">
        <v>104</v>
      </c>
      <c r="B22" s="82">
        <v>35</v>
      </c>
      <c r="C22" s="1"/>
      <c r="D22" s="86"/>
      <c r="E22" s="1"/>
      <c r="F22" s="1"/>
    </row>
    <row r="23" spans="1:6">
      <c r="A23" s="1">
        <v>105</v>
      </c>
      <c r="B23" s="82">
        <v>30</v>
      </c>
      <c r="C23" s="1"/>
      <c r="D23" s="86"/>
      <c r="E23" s="1"/>
      <c r="F23" s="1"/>
    </row>
    <row r="24" spans="1:6">
      <c r="A24" s="1">
        <v>106</v>
      </c>
      <c r="B24" s="82">
        <v>25</v>
      </c>
      <c r="C24" s="1"/>
      <c r="D24" s="86"/>
      <c r="E24" s="1"/>
      <c r="F24" s="1"/>
    </row>
    <row r="25" spans="1:6">
      <c r="A25" s="1">
        <v>107</v>
      </c>
      <c r="B25" s="82">
        <v>23</v>
      </c>
      <c r="C25" s="1"/>
      <c r="D25" s="86"/>
      <c r="E25" s="1"/>
      <c r="F25" s="1"/>
    </row>
    <row r="26" spans="1:6">
      <c r="A26" s="1">
        <v>108</v>
      </c>
      <c r="B26" s="82">
        <v>20</v>
      </c>
      <c r="C26" s="1"/>
      <c r="D26" s="86"/>
      <c r="E26" s="1"/>
      <c r="F26" s="1"/>
    </row>
    <row r="27" spans="1:6">
      <c r="A27" s="1">
        <v>109</v>
      </c>
      <c r="B27" s="82">
        <v>18</v>
      </c>
      <c r="C27" s="1"/>
      <c r="D27" s="86"/>
      <c r="E27" s="1"/>
      <c r="F27" s="1"/>
    </row>
    <row r="28" spans="1:6">
      <c r="A28" s="1">
        <v>110</v>
      </c>
      <c r="B28" s="82">
        <v>15</v>
      </c>
      <c r="C28" s="1"/>
      <c r="D28" s="86"/>
      <c r="E28" s="1"/>
      <c r="F28" s="1"/>
    </row>
    <row r="29" spans="1:6">
      <c r="A29" s="1">
        <v>111</v>
      </c>
      <c r="B29" s="82">
        <v>13</v>
      </c>
      <c r="C29" s="1"/>
      <c r="D29" s="86"/>
      <c r="E29" s="1"/>
      <c r="F29" s="1"/>
    </row>
    <row r="30" spans="1:6">
      <c r="A30" s="1">
        <v>112</v>
      </c>
      <c r="B30" s="82">
        <v>10</v>
      </c>
      <c r="C30" s="1"/>
      <c r="D30" s="86"/>
      <c r="E30" s="1"/>
      <c r="F30" s="1"/>
    </row>
    <row r="31" spans="1:6">
      <c r="A31" s="1">
        <v>113</v>
      </c>
      <c r="B31" s="82">
        <v>10</v>
      </c>
      <c r="C31" s="1"/>
      <c r="D31" s="86"/>
      <c r="E31" s="1"/>
      <c r="F31" s="1"/>
    </row>
    <row r="32" spans="1:6">
      <c r="A32" s="1">
        <v>114</v>
      </c>
      <c r="B32" s="82">
        <v>8</v>
      </c>
      <c r="C32" s="1"/>
      <c r="D32" s="86"/>
      <c r="E32" s="1"/>
      <c r="F32" s="1"/>
    </row>
    <row r="33" spans="1:6">
      <c r="A33" s="1">
        <v>115</v>
      </c>
      <c r="B33" s="82">
        <v>7</v>
      </c>
      <c r="C33" s="1"/>
      <c r="D33" s="86"/>
      <c r="E33" s="1"/>
      <c r="F33" s="1"/>
    </row>
  </sheetData>
  <mergeCells count="2">
    <mergeCell ref="A1:B1"/>
    <mergeCell ref="F8:I8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Posto Fixo</vt:lpstr>
      <vt:lpstr>Posto Variado</vt:lpstr>
      <vt:lpstr>Ruído de Impacto </vt:lpstr>
      <vt:lpstr>L.T. NR15 (NHT)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Documentos</cp:lastModifiedBy>
  <cp:lastPrinted>2012-05-04T13:07:52Z</cp:lastPrinted>
  <dcterms:created xsi:type="dcterms:W3CDTF">2005-03-11T11:02:23Z</dcterms:created>
  <dcterms:modified xsi:type="dcterms:W3CDTF">2015-05-06T00:48:42Z</dcterms:modified>
</cp:coreProperties>
</file>